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showInkAnnotation="0"/>
  <mc:AlternateContent xmlns:mc="http://schemas.openxmlformats.org/markup-compatibility/2006">
    <mc:Choice Requires="x15">
      <x15ac:absPath xmlns:x15ac="http://schemas.microsoft.com/office/spreadsheetml/2010/11/ac" url="R:\94108010 - Platforma Bývanie a Mobilita SR\KALKULAČKY\"/>
    </mc:Choice>
  </mc:AlternateContent>
  <xr:revisionPtr revIDLastSave="0" documentId="13_ncr:1_{BB99592B-64EB-4727-9086-AC2E17F80B3E}" xr6:coauthVersionLast="44" xr6:coauthVersionMax="44" xr10:uidLastSave="{00000000-0000-0000-0000-000000000000}"/>
  <bookViews>
    <workbookView xWindow="-120" yWindow="-120" windowWidth="29040" windowHeight="15840" xr2:uid="{00000000-000D-0000-FFFF-FFFF00000000}"/>
  </bookViews>
  <sheets>
    <sheet name="Ponuka" sheetId="1" r:id="rId1"/>
    <sheet name="Mimoriadne splátky" sheetId="4"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0" i="1" l="1"/>
  <c r="C33" i="1" s="1"/>
  <c r="C34" i="1" s="1"/>
  <c r="L10" i="1" l="1"/>
  <c r="Q10" i="1" l="1"/>
  <c r="O10" i="1"/>
  <c r="N12" i="1"/>
  <c r="P12" i="1"/>
  <c r="Q12" i="1" s="1"/>
  <c r="O14" i="1"/>
  <c r="P14" i="1"/>
  <c r="Q14" i="1"/>
  <c r="H16" i="1"/>
  <c r="H17" i="1"/>
  <c r="J29" i="1"/>
  <c r="J30" i="1" s="1"/>
  <c r="M10" i="1" s="1"/>
  <c r="AA30" i="1"/>
  <c r="X31" i="1"/>
  <c r="AA31" i="1"/>
  <c r="V32" i="1"/>
  <c r="X32" i="1" s="1"/>
  <c r="V33" i="1"/>
  <c r="X33" i="1" s="1"/>
  <c r="M39" i="1"/>
  <c r="J45" i="1" s="1"/>
  <c r="M45" i="1" s="1"/>
  <c r="M40" i="1"/>
  <c r="J46" i="1" s="1"/>
  <c r="M46" i="1" s="1"/>
  <c r="M41" i="1"/>
  <c r="M42" i="1"/>
  <c r="J48" i="1" s="1"/>
  <c r="M48" i="1" s="1"/>
  <c r="J47" i="1"/>
  <c r="M47" i="1" s="1"/>
  <c r="N10" i="1" l="1"/>
  <c r="Q13" i="1"/>
  <c r="X34" i="1"/>
  <c r="AA32" i="1" s="1"/>
  <c r="Z37" i="1" s="1"/>
  <c r="M49" i="1"/>
  <c r="P10" i="1" s="1"/>
  <c r="R12" i="1"/>
  <c r="R13" i="1" s="1"/>
  <c r="C9" i="4"/>
  <c r="C11" i="4"/>
  <c r="O13" i="4" s="1"/>
  <c r="C37" i="4"/>
  <c r="O34" i="4"/>
  <c r="C34" i="4"/>
  <c r="O33" i="4"/>
  <c r="R10" i="1" l="1"/>
  <c r="C11" i="1"/>
  <c r="O14" i="4"/>
  <c r="Q14" i="4" s="1"/>
  <c r="O15" i="4" l="1"/>
  <c r="AA35" i="1" l="1"/>
  <c r="Z38" i="1" s="1"/>
  <c r="B43" i="1"/>
  <c r="C10" i="4"/>
  <c r="C12" i="4" s="1"/>
  <c r="R15" i="4"/>
  <c r="Q15" i="4" s="1"/>
  <c r="E15" i="4"/>
  <c r="S40" i="4" l="1"/>
  <c r="O39" i="4"/>
  <c r="C21" i="4"/>
  <c r="O19" i="4"/>
  <c r="Q24" i="4"/>
  <c r="O24" i="4"/>
  <c r="Q39" i="4"/>
  <c r="C35" i="4" s="1"/>
  <c r="O20" i="4"/>
  <c r="C22" i="4" s="1"/>
  <c r="S39" i="4"/>
  <c r="O40" i="4" s="1"/>
  <c r="C28" i="4"/>
  <c r="Q41" i="4" l="1"/>
  <c r="C39" i="4" s="1"/>
  <c r="Q40" i="4"/>
  <c r="C36" i="4" s="1"/>
  <c r="C29" i="4"/>
  <c r="C32" i="4"/>
  <c r="C25" i="4"/>
  <c r="O4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JD26512</author>
  </authors>
  <commentList>
    <comment ref="C8" authorId="0" shapeId="0" xr:uid="{00000000-0006-0000-0100-000001000000}">
      <text>
        <r>
          <rPr>
            <sz val="9"/>
            <color indexed="81"/>
            <rFont val="Tahoma"/>
            <family val="2"/>
            <charset val="238"/>
          </rPr>
          <t>zadajte žlté polia</t>
        </r>
      </text>
    </comment>
    <comment ref="C14" authorId="0" shapeId="0" xr:uid="{00000000-0006-0000-0100-000002000000}">
      <text>
        <r>
          <rPr>
            <sz val="9"/>
            <color indexed="81"/>
            <rFont val="Tahoma"/>
            <family val="2"/>
            <charset val="238"/>
          </rPr>
          <t xml:space="preserve">zadajte sumu mimoriadnej splátky v intervale min. a max. výšky
</t>
        </r>
      </text>
    </comment>
    <comment ref="B16" authorId="0" shapeId="0" xr:uid="{00000000-0006-0000-0100-000003000000}">
      <text>
        <r>
          <rPr>
            <sz val="9"/>
            <color indexed="81"/>
            <rFont val="Tahoma"/>
            <family val="2"/>
            <charset val="238"/>
          </rPr>
          <t xml:space="preserve">Ak zadáte napr. </t>
        </r>
        <r>
          <rPr>
            <b/>
            <sz val="9"/>
            <color indexed="81"/>
            <rFont val="Tahoma"/>
            <family val="2"/>
            <charset val="238"/>
          </rPr>
          <t>3 krát v tomto roku</t>
        </r>
        <r>
          <rPr>
            <sz val="9"/>
            <color indexed="81"/>
            <rFont val="Tahoma"/>
            <family val="2"/>
            <charset val="238"/>
          </rPr>
          <t xml:space="preserve"> = klient v najbližšej dobe zrealizuje 3x mim. splátku v zadanej výške a v ďalších rokoch ju už realizovať nebude.
Ak zadáte napr. </t>
        </r>
        <r>
          <rPr>
            <b/>
            <sz val="9"/>
            <color indexed="81"/>
            <rFont val="Tahoma"/>
            <family val="2"/>
            <charset val="238"/>
          </rPr>
          <t>3 krát v každom roku</t>
        </r>
        <r>
          <rPr>
            <sz val="9"/>
            <color indexed="81"/>
            <rFont val="Tahoma"/>
            <family val="2"/>
            <charset val="238"/>
          </rPr>
          <t xml:space="preserve"> = klient zrealizuje mim. splátku 3x pravidelne každý rok počas splatnosti hypotéky  </t>
        </r>
      </text>
    </comment>
  </commentList>
</comments>
</file>

<file path=xl/sharedStrings.xml><?xml version="1.0" encoding="utf-8"?>
<sst xmlns="http://schemas.openxmlformats.org/spreadsheetml/2006/main" count="250" uniqueCount="176">
  <si>
    <t>Meno</t>
  </si>
  <si>
    <t>Priezvisko</t>
  </si>
  <si>
    <t>AU</t>
  </si>
  <si>
    <t>USU</t>
  </si>
  <si>
    <t>HUM</t>
  </si>
  <si>
    <t>NSU</t>
  </si>
  <si>
    <t>áno</t>
  </si>
  <si>
    <t>nie</t>
  </si>
  <si>
    <t>PN</t>
  </si>
  <si>
    <t>PU</t>
  </si>
  <si>
    <t>A</t>
  </si>
  <si>
    <t>N</t>
  </si>
  <si>
    <t>% p.a.</t>
  </si>
  <si>
    <t>1 rok</t>
  </si>
  <si>
    <t>3 roky</t>
  </si>
  <si>
    <t>5 rokov</t>
  </si>
  <si>
    <t>10 rokov</t>
  </si>
  <si>
    <t>15 rokov</t>
  </si>
  <si>
    <t>20 rokov</t>
  </si>
  <si>
    <t>Kalkulačka na prepočet ponuky hypotéky</t>
  </si>
  <si>
    <t>Údaje o úvere</t>
  </si>
  <si>
    <t>Účel</t>
  </si>
  <si>
    <t>Typ úveru</t>
  </si>
  <si>
    <t>Výška úveru</t>
  </si>
  <si>
    <t>Hodnota nehnuteľnosti</t>
  </si>
  <si>
    <t>Fixácia úrokovej sadzby</t>
  </si>
  <si>
    <t>kúpa nehnuteľnosti</t>
  </si>
  <si>
    <t>kúpa nešpecifikovanej nehnuteľnosti</t>
  </si>
  <si>
    <t>rekonštrukcia nehnuteľnosti</t>
  </si>
  <si>
    <t>rekonštrukcia nešpecifikovanej nehnuteľnosti</t>
  </si>
  <si>
    <t>vysporiadanie majetkových pomerov</t>
  </si>
  <si>
    <t>výstavba nehnuteľnosti</t>
  </si>
  <si>
    <t>výstavba nešpecifikovanej nehnuteľnosti</t>
  </si>
  <si>
    <t>účelová hypotéka</t>
  </si>
  <si>
    <t>hypotéka pre mladých</t>
  </si>
  <si>
    <t>neúčelová (americká) hypotéka</t>
  </si>
  <si>
    <t>Údaje o žiadateľovi</t>
  </si>
  <si>
    <t>Titul</t>
  </si>
  <si>
    <t>Dátum narodenia</t>
  </si>
  <si>
    <t>Mesačné výdavky</t>
  </si>
  <si>
    <t>Počet nezaopatrených detí v domácnosti</t>
  </si>
  <si>
    <t>Počet členov domácnosti</t>
  </si>
  <si>
    <t>Zľavy z úrokovej sadzby</t>
  </si>
  <si>
    <t>Úroková sadzba</t>
  </si>
  <si>
    <t>Mesačná splátka</t>
  </si>
  <si>
    <t>Aktívne používanie bežného účtu v ČSOB</t>
  </si>
  <si>
    <t>Poistenie nehnuteľnosti v ČSOB</t>
  </si>
  <si>
    <t>Poistenie úveru v ČSOB</t>
  </si>
  <si>
    <t>Miesto</t>
  </si>
  <si>
    <t>Spoločnosť</t>
  </si>
  <si>
    <t>Dátum</t>
  </si>
  <si>
    <t>Ponuku vystavil:</t>
  </si>
  <si>
    <t>Akciové zníženie úrokovej sadzby</t>
  </si>
  <si>
    <t>Uvedené prepočty sú informatívne a nemajú záväzný charakter.</t>
  </si>
  <si>
    <t>splatenie skôr poskytnutého úveru</t>
  </si>
  <si>
    <t>Doba splatnosti v mesiacoch</t>
  </si>
  <si>
    <t>mesiace</t>
  </si>
  <si>
    <t>Uvedená úroková sadzba je platná pri najlepšej bonite klienta</t>
  </si>
  <si>
    <t>rok</t>
  </si>
  <si>
    <t>roky</t>
  </si>
  <si>
    <t>rokov</t>
  </si>
  <si>
    <t>mesiac</t>
  </si>
  <si>
    <t>mesiacov</t>
  </si>
  <si>
    <t>Hypotéka s mimoriadnymi splátkami</t>
  </si>
  <si>
    <t>Vďaka mimoriadnym splátkam si môžete skrátiť dobu splatnosti svojej hypotéky a ušetriť stovky eur.</t>
  </si>
  <si>
    <t>Realizujte mimoriadne splátky jednoducho a pohodlne:</t>
  </si>
  <si>
    <t>Úver</t>
  </si>
  <si>
    <t>Doba splatnosti</t>
  </si>
  <si>
    <t>Mimoriadna splátka</t>
  </si>
  <si>
    <t>min.</t>
  </si>
  <si>
    <t>max.</t>
  </si>
  <si>
    <t>Koľkokrát chcete zrealizovať</t>
  </si>
  <si>
    <t>mimoriadnu splátku?</t>
  </si>
  <si>
    <t>krát</t>
  </si>
  <si>
    <t>v každom roku</t>
  </si>
  <si>
    <t>INFORMATÍVNY PREPOČET</t>
  </si>
  <si>
    <t>pri jednorazovej mimoriadnej splátke</t>
  </si>
  <si>
    <t>Usporená suma</t>
  </si>
  <si>
    <t>Nová doba splatnosti</t>
  </si>
  <si>
    <t>Ak uhradíte mimoriadnu splátku jedenkrát,</t>
  </si>
  <si>
    <t>zaplatíte na úrokoch rovnakú sumu,</t>
  </si>
  <si>
    <t>ako pri úvere s úrokovou sadzbou</t>
  </si>
  <si>
    <t>pri pravidelných mimoriadnych splátkach</t>
  </si>
  <si>
    <t>Ak uhradíte mimoriadnu splátku každý mesiac,</t>
  </si>
  <si>
    <t>v tomto roku</t>
  </si>
  <si>
    <t>pri mimoriadnej splátke uhradenej</t>
  </si>
  <si>
    <t>Ak uhradíte mimoriadnu splátku</t>
  </si>
  <si>
    <t>iba tento rok</t>
  </si>
  <si>
    <t>Po úhrade mimoriadnej splátky:</t>
  </si>
  <si>
    <t>K dátumu obnovy úrokovej sadzby máte možnosť:</t>
  </si>
  <si>
    <t>Všetky uvedené prepočty sú informatívne a nemajú záväzný charakter. Podmienky realizovania mimoriadnych splátok prostredníctvom služby ČSOB Smartbanking nájdete v Obchodných podmienkach Československej obchodnej banky, a.s., pre poskytovanie hypotekárnych a ďalších úverov.</t>
  </si>
  <si>
    <r>
      <t xml:space="preserve">■ </t>
    </r>
    <r>
      <rPr>
        <b/>
        <sz val="10.5"/>
        <rFont val="Arial Narrow"/>
        <family val="2"/>
        <charset val="238"/>
      </rPr>
      <t xml:space="preserve">cez smartphone alebo tablet </t>
    </r>
    <r>
      <rPr>
        <sz val="10.5"/>
        <rFont val="Arial Narrow"/>
        <family val="2"/>
        <charset val="238"/>
      </rPr>
      <t>v bezplatnej aplikácii ČSOB SmartBanking,</t>
    </r>
  </si>
  <si>
    <r>
      <t xml:space="preserve">■ jedenkrát mesačne </t>
    </r>
    <r>
      <rPr>
        <b/>
        <sz val="10.5"/>
        <rFont val="Arial Narrow"/>
        <family val="2"/>
        <charset val="238"/>
      </rPr>
      <t>bez poplatkov</t>
    </r>
    <r>
      <rPr>
        <sz val="10.5"/>
        <rFont val="Arial Narrow"/>
        <family val="2"/>
        <charset val="238"/>
      </rPr>
      <t xml:space="preserve"> až do </t>
    </r>
    <r>
      <rPr>
        <b/>
        <sz val="10.5"/>
        <rFont val="Arial Narrow"/>
        <family val="2"/>
        <charset val="238"/>
      </rPr>
      <t>1,5% zo zostávajúcej istiny úveru.</t>
    </r>
  </si>
  <si>
    <r>
      <t xml:space="preserve">■ sa </t>
    </r>
    <r>
      <rPr>
        <b/>
        <sz val="10.5"/>
        <rFont val="Arial Narrow"/>
        <family val="2"/>
        <charset val="238"/>
      </rPr>
      <t>zníži istina úveru</t>
    </r>
    <r>
      <rPr>
        <sz val="10.5"/>
        <rFont val="Arial Narrow"/>
        <family val="2"/>
        <charset val="238"/>
      </rPr>
      <t xml:space="preserve"> o celú sumu mimoriadnej splátky,</t>
    </r>
  </si>
  <si>
    <r>
      <t xml:space="preserve">■ naďalej platíte </t>
    </r>
    <r>
      <rPr>
        <b/>
        <sz val="10.5"/>
        <rFont val="Arial Narrow"/>
        <family val="2"/>
        <charset val="238"/>
      </rPr>
      <t>rovnakú výšku mesačnej splátky</t>
    </r>
    <r>
      <rPr>
        <sz val="10.5"/>
        <rFont val="Arial Narrow"/>
        <family val="2"/>
        <charset val="238"/>
      </rPr>
      <t>.</t>
    </r>
  </si>
  <si>
    <r>
      <t xml:space="preserve">■ </t>
    </r>
    <r>
      <rPr>
        <b/>
        <sz val="10.5"/>
        <rFont val="Arial Narrow"/>
        <family val="2"/>
        <charset val="238"/>
      </rPr>
      <t>znížiť mesačnú splátku</t>
    </r>
    <r>
      <rPr>
        <sz val="10.5"/>
        <rFont val="Arial Narrow"/>
        <family val="2"/>
        <charset val="238"/>
      </rPr>
      <t xml:space="preserve"> pri zachovaní pôvodnej doby splatnosti alebo</t>
    </r>
  </si>
  <si>
    <r>
      <t xml:space="preserve">■ požiadať o </t>
    </r>
    <r>
      <rPr>
        <b/>
        <sz val="10.5"/>
        <rFont val="Arial Narrow"/>
        <family val="2"/>
        <charset val="238"/>
      </rPr>
      <t>skrátenie doby splatnosti</t>
    </r>
    <r>
      <rPr>
        <sz val="10.5"/>
        <rFont val="Arial Narrow"/>
        <family val="2"/>
        <charset val="238"/>
      </rPr>
      <t xml:space="preserve"> so zachovaním pôvodnej mesačnej splátky.</t>
    </r>
  </si>
  <si>
    <t xml:space="preserve">Vážený klient, 
teší nás, že Vás pri riešení vášho investičného zámeru oslovila ponuka úverov ČSOB. </t>
  </si>
  <si>
    <t>plnoleta</t>
  </si>
  <si>
    <t>ď. plnoleta</t>
  </si>
  <si>
    <t>nezaop</t>
  </si>
  <si>
    <t>ŽM spolu</t>
  </si>
  <si>
    <t>P (prijmy)</t>
  </si>
  <si>
    <t>V (vydavky)</t>
  </si>
  <si>
    <t>ŽM (živ.min)</t>
  </si>
  <si>
    <t>k</t>
  </si>
  <si>
    <t>REC</t>
  </si>
  <si>
    <t>sadzba</t>
  </si>
  <si>
    <t>max. splatka</t>
  </si>
  <si>
    <t>max. vyska HU</t>
  </si>
  <si>
    <t>ZIVOTNE</t>
  </si>
  <si>
    <t>MINIMUM</t>
  </si>
  <si>
    <t>pocet</t>
  </si>
  <si>
    <t>vyska</t>
  </si>
  <si>
    <t>spolu</t>
  </si>
  <si>
    <t>Mesačný príjem hlavného žiadateľa</t>
  </si>
  <si>
    <t>Mesačný príjem spolužiadateľa</t>
  </si>
  <si>
    <t>uver</t>
  </si>
  <si>
    <t>OBCHODNA MARZA</t>
  </si>
  <si>
    <t>OM</t>
  </si>
  <si>
    <t>do 50 000</t>
  </si>
  <si>
    <t>nad 50 000</t>
  </si>
  <si>
    <t>ZS</t>
  </si>
  <si>
    <t>RM</t>
  </si>
  <si>
    <t>plna vyska</t>
  </si>
  <si>
    <t>prirazka za produkt</t>
  </si>
  <si>
    <t>zlavy</t>
  </si>
  <si>
    <t>vysledna US</t>
  </si>
  <si>
    <t>aktivny ucet</t>
  </si>
  <si>
    <t>750 az 1200</t>
  </si>
  <si>
    <t>1200 az 2500</t>
  </si>
  <si>
    <t>poistenie uveru</t>
  </si>
  <si>
    <t>nad 2500</t>
  </si>
  <si>
    <t>viac</t>
  </si>
  <si>
    <t>premiovy klient</t>
  </si>
  <si>
    <t>prijem</t>
  </si>
  <si>
    <t>ZAKLADNA SADZBA</t>
  </si>
  <si>
    <t>RIZIKOVA MARZA pri bonite A (podla LTV)</t>
  </si>
  <si>
    <t>LTV real</t>
  </si>
  <si>
    <t>LTV produktove</t>
  </si>
  <si>
    <t>PRIRAZKA ZA PRODUKT</t>
  </si>
  <si>
    <t>ZLAVY Z OBCHODNEJ MARZE</t>
  </si>
  <si>
    <t>poistenie nehnutelnosti</t>
  </si>
  <si>
    <t>AU_A_účelová hypotéka</t>
  </si>
  <si>
    <t>PN_A_účelová hypotéka</t>
  </si>
  <si>
    <t>PU_A_účelová hypotéka</t>
  </si>
  <si>
    <t>AU_N_účelová hypotéka</t>
  </si>
  <si>
    <t>PN_N_účelová hypotéka</t>
  </si>
  <si>
    <t>PU_N_účelová hypotéka</t>
  </si>
  <si>
    <t>AU_A_hypotéka pre mladých</t>
  </si>
  <si>
    <t>PN_A_hypotéka pre mladých</t>
  </si>
  <si>
    <t>PU_A_hypotéka pre mladých</t>
  </si>
  <si>
    <t>AU_N_hypotéka pre mladých</t>
  </si>
  <si>
    <t>PN_N_hypotéka pre mladých</t>
  </si>
  <si>
    <t>PU_N_hypotéka pre mladých</t>
  </si>
  <si>
    <t>HUM Y/N</t>
  </si>
  <si>
    <t>ďalšia zľava</t>
  </si>
  <si>
    <t>prémiový klient_A_účelová hypotéka</t>
  </si>
  <si>
    <t>prémiový klient_A_hypotéka pre mladých</t>
  </si>
  <si>
    <t>prémiový klient</t>
  </si>
  <si>
    <t>prémiový klient_N_účelová hypotéka</t>
  </si>
  <si>
    <t>prémiový klient_N_hypotéka pre mladých</t>
  </si>
  <si>
    <t>AU_A_neúčelová (americká) hypotéka</t>
  </si>
  <si>
    <t>PN_A_neúčelová (americká) hypotéka</t>
  </si>
  <si>
    <t>PU_A_neúčelová (americká) hypotéka</t>
  </si>
  <si>
    <t>prémiový klient_A_neúčelová (americká) hypotéka</t>
  </si>
  <si>
    <t>AU_N_neúčelová (americká) hypotéka</t>
  </si>
  <si>
    <t>PN_N_neúčelová (americká) hypotéka</t>
  </si>
  <si>
    <t>PU_N_neúčelová (americká) hypotéka</t>
  </si>
  <si>
    <t>prémiový klient_N_neúčelová (americká) hypotéka</t>
  </si>
  <si>
    <t xml:space="preserve"> </t>
  </si>
  <si>
    <t>Prémiový klient alebo úver nad 30 000€</t>
  </si>
  <si>
    <t xml:space="preserve">Jožko </t>
  </si>
  <si>
    <t>Mrkvička</t>
  </si>
  <si>
    <t>bbb</t>
  </si>
  <si>
    <t>4 roky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</si>
</sst>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0\ &quot;€&quot;;[Red]\-#,##0\ &quot;€&quot;"/>
    <numFmt numFmtId="8" formatCode="#,##0.00\ &quot;€&quot;;[Red]\-#,##0.00\ &quot;€&quot;"/>
    <numFmt numFmtId="164" formatCode="_-* #,##0.00\ _€_-;\-* #,##0.00\ _€_-;_-* &quot;-&quot;??\ _€_-;_-@_-"/>
    <numFmt numFmtId="165" formatCode="#,##0\ &quot;€&quot;"/>
    <numFmt numFmtId="166" formatCode="#,##0.00\ &quot;€&quot;"/>
  </numFmts>
  <fonts count="15" x14ac:knownFonts="1">
    <font>
      <sz val="11"/>
      <color theme="1"/>
      <name val="Calibri"/>
      <family val="2"/>
      <charset val="238"/>
      <scheme val="minor"/>
    </font>
    <font>
      <sz val="11"/>
      <color theme="1"/>
      <name val="Calibri"/>
      <family val="2"/>
      <charset val="238"/>
      <scheme val="minor"/>
    </font>
    <font>
      <b/>
      <sz val="12"/>
      <color theme="1"/>
      <name val="Arial Narrow"/>
      <family val="2"/>
      <charset val="238"/>
    </font>
    <font>
      <sz val="10.5"/>
      <color theme="1"/>
      <name val="Arial Narrow"/>
      <family val="2"/>
      <charset val="238"/>
    </font>
    <font>
      <b/>
      <sz val="10.5"/>
      <color theme="1"/>
      <name val="Arial Narrow"/>
      <family val="2"/>
      <charset val="238"/>
    </font>
    <font>
      <b/>
      <sz val="10.5"/>
      <color theme="0"/>
      <name val="Arial Narrow"/>
      <family val="2"/>
      <charset val="238"/>
    </font>
    <font>
      <sz val="10.5"/>
      <color rgb="FFFF0000"/>
      <name val="Arial Narrow"/>
      <family val="2"/>
      <charset val="238"/>
    </font>
    <font>
      <sz val="10"/>
      <name val="Arial"/>
      <family val="2"/>
      <charset val="238"/>
    </font>
    <font>
      <sz val="9"/>
      <color indexed="81"/>
      <name val="Tahoma"/>
      <family val="2"/>
      <charset val="238"/>
    </font>
    <font>
      <b/>
      <sz val="9"/>
      <color indexed="81"/>
      <name val="Tahoma"/>
      <family val="2"/>
      <charset val="238"/>
    </font>
    <font>
      <sz val="10.5"/>
      <name val="Arial Narrow"/>
      <family val="2"/>
      <charset val="238"/>
    </font>
    <font>
      <b/>
      <sz val="10.5"/>
      <name val="Arial Narrow"/>
      <family val="2"/>
      <charset val="238"/>
    </font>
    <font>
      <i/>
      <sz val="10.5"/>
      <color theme="0" tint="-0.499984740745262"/>
      <name val="Arial Narrow"/>
      <family val="2"/>
      <charset val="238"/>
    </font>
    <font>
      <sz val="10.5"/>
      <color theme="0" tint="-0.14999847407452621"/>
      <name val="Arial Narrow"/>
      <family val="2"/>
      <charset val="238"/>
    </font>
    <font>
      <b/>
      <sz val="10.5"/>
      <color rgb="FFFF0000"/>
      <name val="Arial Narrow"/>
      <family val="2"/>
      <charset val="238"/>
    </font>
  </fonts>
  <fills count="1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4"/>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E3E3E3"/>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FF000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89999084444715716"/>
        <bgColor indexed="64"/>
      </patternFill>
    </fill>
    <fill>
      <patternFill patternType="solid">
        <fgColor theme="6" tint="0.39997558519241921"/>
        <bgColor indexed="64"/>
      </patternFill>
    </fill>
  </fills>
  <borders count="12">
    <border>
      <left/>
      <right/>
      <top/>
      <bottom/>
      <diagonal/>
    </border>
    <border>
      <left/>
      <right/>
      <top style="thick">
        <color theme="0"/>
      </top>
      <bottom style="thick">
        <color theme="0"/>
      </bottom>
      <diagonal/>
    </border>
    <border>
      <left/>
      <right/>
      <top style="thick">
        <color theme="0"/>
      </top>
      <bottom/>
      <diagonal/>
    </border>
    <border>
      <left/>
      <right/>
      <top style="thin">
        <color theme="0"/>
      </top>
      <bottom style="thin">
        <color theme="0"/>
      </bottom>
      <diagonal/>
    </border>
    <border>
      <left/>
      <right/>
      <top/>
      <bottom style="thick">
        <color theme="0"/>
      </bottom>
      <diagonal/>
    </border>
    <border>
      <left style="thick">
        <color theme="0"/>
      </left>
      <right style="thick">
        <color theme="0"/>
      </right>
      <top style="thick">
        <color theme="0"/>
      </top>
      <bottom style="thick">
        <color theme="0"/>
      </bottom>
      <diagonal/>
    </border>
    <border>
      <left style="thick">
        <color theme="0"/>
      </left>
      <right/>
      <top/>
      <bottom style="thick">
        <color theme="0"/>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right style="thick">
        <color theme="0"/>
      </right>
      <top style="thick">
        <color theme="0"/>
      </top>
      <bottom/>
      <diagonal/>
    </border>
    <border>
      <left/>
      <right style="thick">
        <color theme="0"/>
      </right>
      <top/>
      <bottom style="thick">
        <color theme="0"/>
      </bottom>
      <diagonal/>
    </border>
    <border>
      <left style="thick">
        <color theme="0"/>
      </left>
      <right/>
      <top style="thick">
        <color theme="0"/>
      </top>
      <bottom/>
      <diagonal/>
    </border>
  </borders>
  <cellStyleXfs count="5">
    <xf numFmtId="0" fontId="0" fillId="0" borderId="0"/>
    <xf numFmtId="9" fontId="1" fillId="0" borderId="0" applyFont="0" applyFill="0" applyBorder="0" applyAlignment="0" applyProtection="0"/>
    <xf numFmtId="164" fontId="1" fillId="0" borderId="0" applyFont="0" applyFill="0" applyBorder="0" applyAlignment="0" applyProtection="0"/>
    <xf numFmtId="0" fontId="7" fillId="0" borderId="0"/>
    <xf numFmtId="9" fontId="7" fillId="0" borderId="0" applyFont="0" applyFill="0" applyBorder="0" applyAlignment="0" applyProtection="0"/>
  </cellStyleXfs>
  <cellXfs count="104">
    <xf numFmtId="0" fontId="0" fillId="0" borderId="0" xfId="0"/>
    <xf numFmtId="0" fontId="0" fillId="3" borderId="0" xfId="0" applyFill="1"/>
    <xf numFmtId="0" fontId="3" fillId="0" borderId="0" xfId="0" applyFont="1" applyAlignment="1">
      <alignment vertical="center"/>
    </xf>
    <xf numFmtId="0" fontId="3" fillId="0" borderId="0" xfId="0" applyFont="1" applyAlignment="1">
      <alignment horizontal="left" vertical="center" wrapText="1"/>
    </xf>
    <xf numFmtId="0" fontId="5" fillId="5" borderId="0" xfId="0" applyFont="1" applyFill="1" applyAlignment="1">
      <alignment horizontal="left" vertical="center" wrapText="1"/>
    </xf>
    <xf numFmtId="0" fontId="3" fillId="7" borderId="1" xfId="0" applyFont="1" applyFill="1" applyBorder="1" applyAlignment="1">
      <alignment vertical="center"/>
    </xf>
    <xf numFmtId="0" fontId="5" fillId="5" borderId="0" xfId="0" applyFont="1" applyFill="1" applyAlignment="1">
      <alignment vertical="center"/>
    </xf>
    <xf numFmtId="0" fontId="3" fillId="0" borderId="0" xfId="0" applyFont="1" applyFill="1" applyAlignment="1">
      <alignment vertical="center"/>
    </xf>
    <xf numFmtId="0" fontId="3" fillId="7" borderId="0" xfId="0" applyFont="1" applyFill="1" applyAlignment="1">
      <alignment vertical="center"/>
    </xf>
    <xf numFmtId="0" fontId="4" fillId="0" borderId="0" xfId="0" applyFont="1" applyFill="1" applyAlignment="1">
      <alignment vertical="center"/>
    </xf>
    <xf numFmtId="0" fontId="5" fillId="5" borderId="2" xfId="0" applyFont="1" applyFill="1" applyBorder="1" applyAlignment="1">
      <alignment vertical="center"/>
    </xf>
    <xf numFmtId="0" fontId="3" fillId="7" borderId="2" xfId="0" applyFont="1" applyFill="1" applyBorder="1" applyAlignment="1">
      <alignment vertical="center"/>
    </xf>
    <xf numFmtId="0" fontId="3" fillId="7" borderId="4" xfId="0" applyFont="1" applyFill="1" applyBorder="1" applyAlignment="1">
      <alignment horizontal="right" vertical="center"/>
    </xf>
    <xf numFmtId="14" fontId="3" fillId="0" borderId="0" xfId="0" applyNumberFormat="1" applyFont="1" applyAlignment="1">
      <alignment vertical="center"/>
    </xf>
    <xf numFmtId="0" fontId="6" fillId="0" borderId="0" xfId="0" applyFont="1" applyFill="1" applyAlignment="1">
      <alignment vertical="center"/>
    </xf>
    <xf numFmtId="0" fontId="3" fillId="6" borderId="1" xfId="0" applyFont="1" applyFill="1" applyBorder="1" applyAlignment="1" applyProtection="1">
      <alignment horizontal="right" vertical="center"/>
      <protection locked="0"/>
    </xf>
    <xf numFmtId="165" fontId="3" fillId="6" borderId="1" xfId="2" applyNumberFormat="1" applyFont="1" applyFill="1" applyBorder="1" applyAlignment="1" applyProtection="1">
      <alignment horizontal="right" vertical="center"/>
      <protection locked="0"/>
    </xf>
    <xf numFmtId="0" fontId="3" fillId="6" borderId="2" xfId="0" applyFont="1" applyFill="1" applyBorder="1" applyAlignment="1" applyProtection="1">
      <alignment horizontal="right" vertical="center"/>
      <protection locked="0"/>
    </xf>
    <xf numFmtId="14" fontId="3" fillId="6" borderId="1" xfId="0" applyNumberFormat="1" applyFont="1" applyFill="1" applyBorder="1" applyAlignment="1" applyProtection="1">
      <alignment horizontal="right" vertical="center"/>
      <protection locked="0"/>
    </xf>
    <xf numFmtId="165" fontId="3" fillId="6" borderId="1" xfId="0" applyNumberFormat="1" applyFont="1" applyFill="1" applyBorder="1" applyAlignment="1" applyProtection="1">
      <alignment horizontal="right" vertical="center"/>
      <protection locked="0"/>
    </xf>
    <xf numFmtId="0" fontId="3" fillId="6" borderId="0" xfId="0" applyFont="1" applyFill="1" applyAlignment="1" applyProtection="1">
      <alignment vertical="center"/>
      <protection locked="0"/>
    </xf>
    <xf numFmtId="0" fontId="3" fillId="6" borderId="1" xfId="0" applyFont="1" applyFill="1" applyBorder="1" applyAlignment="1" applyProtection="1">
      <alignment vertical="center"/>
      <protection locked="0"/>
    </xf>
    <xf numFmtId="0" fontId="10" fillId="0" borderId="0" xfId="3" applyFont="1" applyAlignment="1">
      <alignment vertical="center"/>
    </xf>
    <xf numFmtId="0" fontId="4" fillId="0" borderId="0" xfId="3" applyFont="1" applyAlignment="1">
      <alignment vertical="center" wrapText="1"/>
    </xf>
    <xf numFmtId="0" fontId="10" fillId="0" borderId="0" xfId="3" applyFont="1" applyFill="1" applyAlignment="1">
      <alignment vertical="center"/>
    </xf>
    <xf numFmtId="8" fontId="6" fillId="0" borderId="0" xfId="3" applyNumberFormat="1" applyFont="1" applyAlignment="1" applyProtection="1">
      <alignment vertical="center"/>
      <protection hidden="1"/>
    </xf>
    <xf numFmtId="0" fontId="3" fillId="0" borderId="0" xfId="3" applyFont="1" applyAlignment="1">
      <alignment horizontal="right" vertical="center"/>
    </xf>
    <xf numFmtId="166" fontId="10" fillId="0" borderId="0" xfId="3" applyNumberFormat="1" applyFont="1" applyFill="1" applyBorder="1" applyAlignment="1" applyProtection="1">
      <alignment vertical="center"/>
      <protection locked="0" hidden="1"/>
    </xf>
    <xf numFmtId="0" fontId="10" fillId="0" borderId="5" xfId="3" applyFont="1" applyBorder="1" applyAlignment="1">
      <alignment vertical="center"/>
    </xf>
    <xf numFmtId="166" fontId="10" fillId="0" borderId="0" xfId="3" applyNumberFormat="1" applyFont="1" applyAlignment="1">
      <alignment vertical="center"/>
    </xf>
    <xf numFmtId="0" fontId="10" fillId="10" borderId="0" xfId="3" applyFont="1" applyFill="1" applyBorder="1" applyAlignment="1">
      <alignment vertical="center"/>
    </xf>
    <xf numFmtId="0" fontId="10" fillId="10" borderId="9" xfId="3" applyFont="1" applyFill="1" applyBorder="1" applyAlignment="1">
      <alignment vertical="center"/>
    </xf>
    <xf numFmtId="0" fontId="10" fillId="10" borderId="10" xfId="3" applyFont="1" applyFill="1" applyBorder="1" applyAlignment="1">
      <alignment vertical="center"/>
    </xf>
    <xf numFmtId="6" fontId="6" fillId="0" borderId="5" xfId="3" applyNumberFormat="1" applyFont="1" applyFill="1" applyBorder="1" applyAlignment="1" applyProtection="1">
      <alignment vertical="center"/>
      <protection locked="0" hidden="1"/>
    </xf>
    <xf numFmtId="0" fontId="10" fillId="0" borderId="0" xfId="3" applyFont="1" applyFill="1" applyAlignment="1" applyProtection="1">
      <alignment vertical="center"/>
      <protection hidden="1"/>
    </xf>
    <xf numFmtId="0" fontId="10" fillId="10" borderId="0" xfId="3" applyFont="1" applyFill="1" applyAlignment="1" applyProtection="1">
      <alignment vertical="center"/>
      <protection hidden="1"/>
    </xf>
    <xf numFmtId="0" fontId="10" fillId="10" borderId="0" xfId="3" applyFont="1" applyFill="1" applyBorder="1" applyAlignment="1" applyProtection="1">
      <alignment vertical="center"/>
      <protection hidden="1"/>
    </xf>
    <xf numFmtId="0" fontId="6" fillId="0" borderId="0" xfId="3" applyFont="1" applyFill="1" applyAlignment="1" applyProtection="1">
      <alignment vertical="center"/>
      <protection hidden="1"/>
    </xf>
    <xf numFmtId="8" fontId="13" fillId="0" borderId="0" xfId="3" applyNumberFormat="1" applyFont="1" applyAlignment="1" applyProtection="1">
      <alignment vertical="center"/>
      <protection hidden="1"/>
    </xf>
    <xf numFmtId="0" fontId="3" fillId="0" borderId="0" xfId="3" applyFont="1" applyFill="1" applyBorder="1" applyAlignment="1" applyProtection="1">
      <alignment vertical="center" wrapText="1"/>
      <protection hidden="1"/>
    </xf>
    <xf numFmtId="0" fontId="10" fillId="11" borderId="5" xfId="3" applyFont="1" applyFill="1" applyBorder="1" applyAlignment="1" applyProtection="1">
      <alignment vertical="center"/>
      <protection locked="0" hidden="1"/>
    </xf>
    <xf numFmtId="165" fontId="10" fillId="11" borderId="8" xfId="3" applyNumberFormat="1" applyFont="1" applyFill="1" applyBorder="1" applyAlignment="1" applyProtection="1">
      <alignment vertical="center"/>
      <protection locked="0" hidden="1"/>
    </xf>
    <xf numFmtId="10" fontId="10" fillId="11" borderId="8" xfId="3" applyNumberFormat="1" applyFont="1" applyFill="1" applyBorder="1" applyAlignment="1" applyProtection="1">
      <alignment vertical="center"/>
      <protection locked="0" hidden="1"/>
    </xf>
    <xf numFmtId="0" fontId="10" fillId="11" borderId="8" xfId="3" applyFont="1" applyFill="1" applyBorder="1" applyAlignment="1" applyProtection="1">
      <alignment vertical="center"/>
      <protection locked="0" hidden="1"/>
    </xf>
    <xf numFmtId="0" fontId="10" fillId="7" borderId="7" xfId="3" applyFont="1" applyFill="1" applyBorder="1" applyAlignment="1">
      <alignment horizontal="left" vertical="center"/>
    </xf>
    <xf numFmtId="0" fontId="10" fillId="0" borderId="0" xfId="3" applyFont="1" applyBorder="1" applyAlignment="1">
      <alignment horizontal="left" vertical="center"/>
    </xf>
    <xf numFmtId="0" fontId="10" fillId="0" borderId="0" xfId="3" applyFont="1" applyBorder="1" applyAlignment="1">
      <alignment vertical="center"/>
    </xf>
    <xf numFmtId="0" fontId="4" fillId="0" borderId="0" xfId="3" applyFont="1" applyBorder="1" applyAlignment="1">
      <alignment vertical="center"/>
    </xf>
    <xf numFmtId="166" fontId="10" fillId="7" borderId="1" xfId="3" applyNumberFormat="1" applyFont="1" applyFill="1" applyBorder="1" applyAlignment="1" applyProtection="1">
      <alignment horizontal="left" vertical="center"/>
      <protection hidden="1"/>
    </xf>
    <xf numFmtId="0" fontId="10" fillId="7" borderId="8" xfId="3" applyFont="1" applyFill="1" applyBorder="1" applyAlignment="1">
      <alignment vertical="center"/>
    </xf>
    <xf numFmtId="0" fontId="10" fillId="7" borderId="1" xfId="3" applyFont="1" applyFill="1" applyBorder="1" applyAlignment="1" applyProtection="1">
      <alignment horizontal="left" vertical="center"/>
      <protection hidden="1"/>
    </xf>
    <xf numFmtId="166" fontId="10" fillId="7" borderId="8" xfId="3" applyNumberFormat="1" applyFont="1" applyFill="1" applyBorder="1" applyAlignment="1" applyProtection="1">
      <alignment horizontal="center" vertical="center"/>
      <protection hidden="1"/>
    </xf>
    <xf numFmtId="0" fontId="10" fillId="7" borderId="8" xfId="3" applyFont="1" applyFill="1" applyBorder="1" applyAlignment="1" applyProtection="1">
      <alignment horizontal="center" vertical="center"/>
      <protection hidden="1"/>
    </xf>
    <xf numFmtId="0" fontId="5" fillId="4" borderId="7" xfId="3" applyFont="1" applyFill="1" applyBorder="1" applyAlignment="1">
      <alignment horizontal="left" vertical="center"/>
    </xf>
    <xf numFmtId="0" fontId="5" fillId="4" borderId="11" xfId="3" applyFont="1" applyFill="1" applyBorder="1" applyAlignment="1">
      <alignment horizontal="left" vertical="center"/>
    </xf>
    <xf numFmtId="0" fontId="5" fillId="4" borderId="6" xfId="3" applyFont="1" applyFill="1" applyBorder="1" applyAlignment="1">
      <alignment horizontal="left" vertical="center"/>
    </xf>
    <xf numFmtId="0" fontId="5" fillId="4" borderId="7" xfId="3" applyFont="1" applyFill="1" applyBorder="1" applyAlignment="1">
      <alignment vertical="center"/>
    </xf>
    <xf numFmtId="6" fontId="10" fillId="11" borderId="8" xfId="3" applyNumberFormat="1" applyFont="1" applyFill="1" applyBorder="1" applyAlignment="1" applyProtection="1">
      <alignment vertical="center"/>
      <protection locked="0" hidden="1"/>
    </xf>
    <xf numFmtId="1" fontId="10" fillId="11" borderId="8" xfId="3" applyNumberFormat="1" applyFont="1" applyFill="1" applyBorder="1" applyAlignment="1" applyProtection="1">
      <alignment vertical="center"/>
      <protection locked="0" hidden="1"/>
    </xf>
    <xf numFmtId="165" fontId="10" fillId="9" borderId="5" xfId="3" applyNumberFormat="1" applyFont="1" applyFill="1" applyBorder="1" applyAlignment="1" applyProtection="1">
      <alignment horizontal="left" vertical="center"/>
      <protection hidden="1"/>
    </xf>
    <xf numFmtId="166" fontId="10" fillId="6" borderId="8" xfId="3" applyNumberFormat="1" applyFont="1" applyFill="1" applyBorder="1" applyAlignment="1" applyProtection="1">
      <alignment vertical="center"/>
      <protection hidden="1"/>
    </xf>
    <xf numFmtId="0" fontId="3" fillId="0" borderId="4" xfId="0" applyFont="1" applyFill="1" applyBorder="1" applyAlignment="1" applyProtection="1">
      <alignment horizontal="right" vertical="center"/>
      <protection hidden="1"/>
    </xf>
    <xf numFmtId="8" fontId="4" fillId="8" borderId="2" xfId="0" applyNumberFormat="1" applyFont="1" applyFill="1" applyBorder="1" applyAlignment="1" applyProtection="1">
      <alignment vertical="center"/>
      <protection hidden="1"/>
    </xf>
    <xf numFmtId="165" fontId="3" fillId="0" borderId="0" xfId="0" applyNumberFormat="1" applyFont="1" applyAlignment="1">
      <alignment vertical="center"/>
    </xf>
    <xf numFmtId="9" fontId="3" fillId="0" borderId="0" xfId="0" applyNumberFormat="1" applyFont="1" applyAlignment="1">
      <alignment vertical="center"/>
    </xf>
    <xf numFmtId="10" fontId="3" fillId="0" borderId="0" xfId="1" applyNumberFormat="1" applyFont="1" applyAlignment="1">
      <alignment vertical="center"/>
    </xf>
    <xf numFmtId="0" fontId="3" fillId="0" borderId="0" xfId="0" applyFont="1" applyAlignment="1">
      <alignment horizontal="right" vertical="center"/>
    </xf>
    <xf numFmtId="0" fontId="0" fillId="12" borderId="0" xfId="0" applyFill="1"/>
    <xf numFmtId="0" fontId="2" fillId="0" borderId="0" xfId="0" applyFont="1" applyAlignment="1">
      <alignment horizontal="left" vertical="center"/>
    </xf>
    <xf numFmtId="0" fontId="3" fillId="0" borderId="0" xfId="0" applyFont="1" applyAlignment="1">
      <alignment horizontal="left" vertical="center" wrapText="1"/>
    </xf>
    <xf numFmtId="3" fontId="0" fillId="0" borderId="0" xfId="0" applyNumberFormat="1"/>
    <xf numFmtId="0" fontId="0" fillId="13" borderId="0" xfId="0" applyFill="1"/>
    <xf numFmtId="0" fontId="0" fillId="14" borderId="0" xfId="0" applyFill="1"/>
    <xf numFmtId="0" fontId="0" fillId="0" borderId="0" xfId="0" applyFill="1" applyBorder="1"/>
    <xf numFmtId="2" fontId="0" fillId="0" borderId="0" xfId="0" applyNumberFormat="1" applyFill="1" applyBorder="1"/>
    <xf numFmtId="9" fontId="0" fillId="0" borderId="0" xfId="0" applyNumberFormat="1"/>
    <xf numFmtId="10" fontId="0" fillId="0" borderId="0" xfId="0" applyNumberFormat="1"/>
    <xf numFmtId="0" fontId="3" fillId="15" borderId="0" xfId="0" applyFont="1" applyFill="1" applyAlignment="1">
      <alignment vertical="center"/>
    </xf>
    <xf numFmtId="9" fontId="3" fillId="0" borderId="0" xfId="1" applyNumberFormat="1" applyFont="1" applyFill="1" applyAlignment="1">
      <alignmen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3" fillId="16" borderId="0" xfId="0" applyFont="1" applyFill="1" applyAlignment="1">
      <alignment vertical="center"/>
    </xf>
    <xf numFmtId="0" fontId="0" fillId="0" borderId="0" xfId="0" applyFill="1" applyAlignment="1">
      <alignment horizontal="center"/>
    </xf>
    <xf numFmtId="0" fontId="14" fillId="0" borderId="0" xfId="0" applyFont="1" applyAlignment="1" applyProtection="1">
      <alignment vertical="center"/>
      <protection hidden="1"/>
    </xf>
    <xf numFmtId="2" fontId="0" fillId="0" borderId="0" xfId="1" applyNumberFormat="1" applyFont="1"/>
    <xf numFmtId="2" fontId="0" fillId="0" borderId="0" xfId="1" applyNumberFormat="1" applyFont="1" applyFill="1" applyBorder="1"/>
    <xf numFmtId="2" fontId="4" fillId="8" borderId="0" xfId="1" applyNumberFormat="1" applyFont="1" applyFill="1" applyAlignment="1" applyProtection="1">
      <alignment vertical="center"/>
      <protection hidden="1"/>
    </xf>
    <xf numFmtId="0" fontId="2" fillId="0" borderId="0" xfId="0" applyFont="1" applyAlignment="1">
      <alignment horizontal="left" vertical="center"/>
    </xf>
    <xf numFmtId="0" fontId="3" fillId="0" borderId="0" xfId="0" applyFont="1" applyAlignment="1">
      <alignment horizontal="left" vertical="center" wrapText="1"/>
    </xf>
    <xf numFmtId="0" fontId="0" fillId="2" borderId="0" xfId="0" applyFill="1" applyAlignment="1">
      <alignment horizontal="center"/>
    </xf>
    <xf numFmtId="10" fontId="10" fillId="7" borderId="2" xfId="3" applyNumberFormat="1" applyFont="1" applyFill="1" applyBorder="1" applyAlignment="1" applyProtection="1">
      <alignment horizontal="left" vertical="center"/>
      <protection hidden="1"/>
    </xf>
    <xf numFmtId="10" fontId="10" fillId="7" borderId="9" xfId="3" applyNumberFormat="1" applyFont="1" applyFill="1" applyBorder="1" applyAlignment="1" applyProtection="1">
      <alignment horizontal="left" vertical="center"/>
      <protection hidden="1"/>
    </xf>
    <xf numFmtId="166" fontId="10" fillId="0" borderId="7" xfId="3" applyNumberFormat="1" applyFont="1" applyFill="1" applyBorder="1" applyAlignment="1" applyProtection="1">
      <alignment horizontal="center" vertical="center"/>
      <protection hidden="1"/>
    </xf>
    <xf numFmtId="166" fontId="10" fillId="0" borderId="8" xfId="3" applyNumberFormat="1" applyFont="1" applyFill="1" applyBorder="1" applyAlignment="1" applyProtection="1">
      <alignment horizontal="center" vertical="center"/>
      <protection hidden="1"/>
    </xf>
    <xf numFmtId="0" fontId="2" fillId="0" borderId="0" xfId="3" applyFont="1" applyAlignment="1">
      <alignment horizontal="left" vertical="center" wrapText="1"/>
    </xf>
    <xf numFmtId="10" fontId="10" fillId="7" borderId="2" xfId="4" applyNumberFormat="1" applyFont="1" applyFill="1" applyBorder="1" applyAlignment="1" applyProtection="1">
      <alignment horizontal="left" vertical="center"/>
      <protection hidden="1"/>
    </xf>
    <xf numFmtId="10" fontId="10" fillId="7" borderId="9" xfId="4" applyNumberFormat="1" applyFont="1" applyFill="1" applyBorder="1" applyAlignment="1" applyProtection="1">
      <alignment horizontal="left" vertical="center"/>
      <protection hidden="1"/>
    </xf>
    <xf numFmtId="165" fontId="12" fillId="0" borderId="4" xfId="3" applyNumberFormat="1" applyFont="1" applyFill="1" applyBorder="1" applyAlignment="1" applyProtection="1">
      <alignment horizontal="center" vertical="center"/>
      <protection hidden="1"/>
    </xf>
    <xf numFmtId="165" fontId="12" fillId="0" borderId="0" xfId="3" applyNumberFormat="1" applyFont="1" applyFill="1" applyAlignment="1" applyProtection="1">
      <alignment horizontal="center" vertical="center"/>
      <protection hidden="1"/>
    </xf>
    <xf numFmtId="0" fontId="10" fillId="0" borderId="7" xfId="3" applyFont="1" applyFill="1" applyBorder="1" applyAlignment="1" applyProtection="1">
      <alignment horizontal="center" vertical="center"/>
      <protection hidden="1"/>
    </xf>
    <xf numFmtId="0" fontId="10" fillId="0" borderId="8" xfId="3" applyFont="1" applyFill="1" applyBorder="1" applyAlignment="1" applyProtection="1">
      <alignment horizontal="center" vertical="center"/>
      <protection hidden="1"/>
    </xf>
    <xf numFmtId="10" fontId="10" fillId="0" borderId="7" xfId="4" applyNumberFormat="1" applyFont="1" applyFill="1" applyBorder="1" applyAlignment="1" applyProtection="1">
      <alignment horizontal="center" vertical="center"/>
      <protection hidden="1"/>
    </xf>
    <xf numFmtId="10" fontId="10" fillId="0" borderId="8" xfId="4" applyNumberFormat="1" applyFont="1" applyFill="1" applyBorder="1" applyAlignment="1" applyProtection="1">
      <alignment horizontal="center" vertical="center"/>
      <protection hidden="1"/>
    </xf>
    <xf numFmtId="0" fontId="3" fillId="0" borderId="0" xfId="3" applyFont="1" applyFill="1" applyBorder="1" applyAlignment="1" applyProtection="1">
      <alignment horizontal="left" vertical="center" wrapText="1"/>
      <protection hidden="1"/>
    </xf>
  </cellXfs>
  <cellStyles count="5">
    <cellStyle name="Čiarka" xfId="2" builtinId="3"/>
    <cellStyle name="Normálna" xfId="0" builtinId="0"/>
    <cellStyle name="normálne 2" xfId="3" xr:uid="{00000000-0005-0000-0000-000002000000}"/>
    <cellStyle name="Percentá" xfId="1" builtinId="5"/>
    <cellStyle name="percentá 2" xfId="4" xr:uid="{00000000-0005-0000-0000-000004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2247900</xdr:colOff>
      <xdr:row>0</xdr:row>
      <xdr:rowOff>9525</xdr:rowOff>
    </xdr:from>
    <xdr:to>
      <xdr:col>3</xdr:col>
      <xdr:colOff>592455</xdr:colOff>
      <xdr:row>3</xdr:row>
      <xdr:rowOff>38100</xdr:rowOff>
    </xdr:to>
    <xdr:pic>
      <xdr:nvPicPr>
        <xdr:cNvPr id="2" name="Obrázok 2" descr="CSOB logo.bmp">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4514850" y="9525"/>
          <a:ext cx="714375" cy="6858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504825</xdr:colOff>
      <xdr:row>0</xdr:row>
      <xdr:rowOff>9525</xdr:rowOff>
    </xdr:from>
    <xdr:to>
      <xdr:col>7</xdr:col>
      <xdr:colOff>0</xdr:colOff>
      <xdr:row>3</xdr:row>
      <xdr:rowOff>123825</xdr:rowOff>
    </xdr:to>
    <xdr:pic>
      <xdr:nvPicPr>
        <xdr:cNvPr id="2" name="Obrázok 2" descr="CSOB logo.bmp">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4886325" y="9525"/>
          <a:ext cx="714375" cy="6858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ív Office">
  <a:themeElements>
    <a:clrScheme name="ČSOB corporate">
      <a:dk1>
        <a:sysClr val="windowText" lastClr="000000"/>
      </a:dk1>
      <a:lt1>
        <a:sysClr val="window" lastClr="FFFFFF"/>
      </a:lt1>
      <a:dk2>
        <a:srgbClr val="1F497D"/>
      </a:dk2>
      <a:lt2>
        <a:srgbClr val="EEECE1"/>
      </a:lt2>
      <a:accent1>
        <a:srgbClr val="009FE3"/>
      </a:accent1>
      <a:accent2>
        <a:srgbClr val="003865"/>
      </a:accent2>
      <a:accent3>
        <a:srgbClr val="76BA29"/>
      </a:accent3>
      <a:accent4>
        <a:srgbClr val="E3E3E3"/>
      </a:accent4>
      <a:accent5>
        <a:srgbClr val="9D9D9C"/>
      </a:accent5>
      <a:accent6>
        <a:srgbClr val="57575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C68"/>
  <sheetViews>
    <sheetView showGridLines="0" tabSelected="1" zoomScale="120" zoomScaleNormal="120" workbookViewId="0"/>
  </sheetViews>
  <sheetFormatPr defaultColWidth="9.109375" defaultRowHeight="14.4" x14ac:dyDescent="0.3"/>
  <cols>
    <col min="1" max="1" width="4" style="2" customWidth="1"/>
    <col min="2" max="2" width="30" style="2" customWidth="1"/>
    <col min="3" max="3" width="35.44140625" style="2" customWidth="1"/>
    <col min="4" max="4" width="9.5546875" style="2" customWidth="1"/>
    <col min="5" max="5" width="9.109375" style="2" hidden="1" customWidth="1"/>
    <col min="6" max="6" width="38.5546875" hidden="1" customWidth="1"/>
    <col min="7" max="7" width="13.5546875" hidden="1" customWidth="1"/>
    <col min="8" max="8" width="10.109375" hidden="1" customWidth="1"/>
    <col min="9" max="9" width="39" hidden="1" customWidth="1"/>
    <col min="10" max="10" width="14.109375" hidden="1" customWidth="1"/>
    <col min="11" max="11" width="9.109375" hidden="1" customWidth="1"/>
    <col min="12" max="12" width="32.44140625" hidden="1" customWidth="1"/>
    <col min="13" max="13" width="15.6640625" hidden="1" customWidth="1"/>
    <col min="14" max="14" width="9.5546875" hidden="1" customWidth="1"/>
    <col min="15" max="15" width="18" hidden="1" customWidth="1"/>
    <col min="16" max="16" width="10.33203125" hidden="1" customWidth="1"/>
    <col min="17" max="18" width="9.109375" hidden="1" customWidth="1"/>
    <col min="19" max="19" width="29.6640625" style="2" hidden="1" customWidth="1"/>
    <col min="20" max="24" width="9.109375" style="2" hidden="1" customWidth="1"/>
    <col min="25" max="25" width="14.109375" style="2" hidden="1" customWidth="1"/>
    <col min="26" max="28" width="9.109375" style="2" hidden="1" customWidth="1"/>
    <col min="29" max="33" width="9.109375" style="2" customWidth="1"/>
    <col min="34" max="16384" width="9.109375" style="2"/>
  </cols>
  <sheetData>
    <row r="2" spans="2:27" ht="15.6" x14ac:dyDescent="0.3">
      <c r="B2" s="87" t="s">
        <v>19</v>
      </c>
      <c r="C2" s="87"/>
      <c r="D2" s="87"/>
      <c r="E2" s="68"/>
    </row>
    <row r="3" spans="2:27" ht="21" customHeight="1" x14ac:dyDescent="0.3"/>
    <row r="4" spans="2:27" ht="38.25" customHeight="1" x14ac:dyDescent="0.3">
      <c r="B4" s="88" t="s">
        <v>97</v>
      </c>
      <c r="C4" s="88"/>
      <c r="D4" s="88"/>
      <c r="E4" s="69"/>
      <c r="T4" s="2" t="s">
        <v>170</v>
      </c>
    </row>
    <row r="5" spans="2:27" ht="12.75" customHeight="1" x14ac:dyDescent="0.3">
      <c r="B5" s="3"/>
      <c r="C5" s="3"/>
      <c r="D5" s="3"/>
      <c r="E5" s="69"/>
    </row>
    <row r="6" spans="2:27" ht="15" customHeight="1" thickBot="1" x14ac:dyDescent="0.35">
      <c r="B6" s="4" t="s">
        <v>20</v>
      </c>
      <c r="C6" s="4"/>
      <c r="D6" s="3"/>
      <c r="E6" s="69"/>
      <c r="F6" t="s">
        <v>174</v>
      </c>
    </row>
    <row r="7" spans="2:27" ht="15" customHeight="1" thickTop="1" thickBot="1" x14ac:dyDescent="0.35">
      <c r="B7" s="5" t="s">
        <v>22</v>
      </c>
      <c r="C7" s="15" t="s">
        <v>33</v>
      </c>
    </row>
    <row r="8" spans="2:27" ht="15" customHeight="1" thickTop="1" thickBot="1" x14ac:dyDescent="0.35">
      <c r="B8" s="5" t="s">
        <v>21</v>
      </c>
      <c r="C8" s="15" t="s">
        <v>54</v>
      </c>
      <c r="F8" s="67" t="s">
        <v>118</v>
      </c>
      <c r="G8" s="67"/>
      <c r="H8" s="67"/>
      <c r="I8" s="67"/>
      <c r="N8" s="89" t="s">
        <v>119</v>
      </c>
      <c r="O8" s="89"/>
      <c r="P8" s="89"/>
      <c r="Q8" s="82"/>
      <c r="S8"/>
      <c r="T8" s="7"/>
      <c r="U8" s="7"/>
      <c r="V8" s="7"/>
      <c r="W8" s="7"/>
      <c r="X8" s="7"/>
      <c r="Y8" s="7"/>
      <c r="Z8" s="7"/>
      <c r="AA8" s="7"/>
    </row>
    <row r="9" spans="2:27" ht="15" customHeight="1" thickTop="1" thickBot="1" x14ac:dyDescent="0.35">
      <c r="B9" s="5" t="s">
        <v>23</v>
      </c>
      <c r="C9" s="16">
        <v>70000</v>
      </c>
      <c r="H9" s="70" t="s">
        <v>120</v>
      </c>
      <c r="I9" t="s">
        <v>121</v>
      </c>
      <c r="L9" t="s">
        <v>122</v>
      </c>
      <c r="M9" t="s">
        <v>123</v>
      </c>
      <c r="N9" t="s">
        <v>124</v>
      </c>
      <c r="O9" t="s">
        <v>125</v>
      </c>
      <c r="P9" t="s">
        <v>126</v>
      </c>
      <c r="Q9" t="s">
        <v>155</v>
      </c>
      <c r="R9" t="s">
        <v>127</v>
      </c>
      <c r="S9"/>
      <c r="T9" s="7"/>
      <c r="U9" s="7"/>
      <c r="V9" s="7"/>
      <c r="W9" s="7"/>
      <c r="X9" s="7"/>
      <c r="Y9" s="7"/>
      <c r="Z9" s="7"/>
      <c r="AA9" s="7"/>
    </row>
    <row r="10" spans="2:27" ht="15" customHeight="1" thickTop="1" x14ac:dyDescent="0.3">
      <c r="B10" s="11" t="s">
        <v>55</v>
      </c>
      <c r="C10" s="17">
        <v>360</v>
      </c>
      <c r="H10" s="71">
        <v>30000</v>
      </c>
      <c r="I10" s="71">
        <v>30001</v>
      </c>
      <c r="L10" s="67">
        <f>VLOOKUP(C12,F20:G26,2,FALSE)</f>
        <v>0.9</v>
      </c>
      <c r="M10" s="67">
        <f>VLOOKUP(J30,$F$28:$G$31,2,FALSE)</f>
        <v>0.05</v>
      </c>
      <c r="N10" s="67">
        <f>VLOOKUP(H16,G11:I14,MATCH(H17,H10:I10)+1,FALSE)</f>
        <v>1.05</v>
      </c>
      <c r="O10" s="67">
        <f>VLOOKUP(C7,F34:H36,2,FALSE)</f>
        <v>0.15</v>
      </c>
      <c r="P10" s="67">
        <f>-SUM(M45:M49)</f>
        <v>-0.8</v>
      </c>
      <c r="Q10" s="67">
        <f>-VLOOKUP(C7,L26:N28,3,0)</f>
        <v>0</v>
      </c>
      <c r="R10" s="1">
        <f>IF(AND(J30&lt;=80,C12="4 roky",C7&lt;&gt;"hypotéka pre mladých",C7&lt;&gt;"neúčelová (americká) hypotéka"),1.3,SUM(L10:Q10))</f>
        <v>1.3499999999999999</v>
      </c>
      <c r="S10"/>
      <c r="T10" s="7"/>
      <c r="U10" s="7"/>
      <c r="V10" s="7"/>
      <c r="W10" s="7"/>
      <c r="X10" s="7"/>
      <c r="Y10" s="7"/>
      <c r="Z10" s="7"/>
      <c r="AA10" s="7"/>
    </row>
    <row r="11" spans="2:27" ht="15" customHeight="1" thickBot="1" x14ac:dyDescent="0.35">
      <c r="B11" s="12"/>
      <c r="C11" s="61" t="str">
        <f>CONCATENATE("(",Q12," ",Q13," ",R12," ",R13,")")</f>
        <v>(30 rokov 0 mesiacov)</v>
      </c>
      <c r="F11" s="70">
        <v>750</v>
      </c>
      <c r="G11" s="71">
        <v>749</v>
      </c>
      <c r="H11" s="72">
        <v>1.05</v>
      </c>
      <c r="I11" s="72">
        <v>1.05</v>
      </c>
      <c r="S11"/>
      <c r="T11" s="7"/>
      <c r="U11" s="7"/>
      <c r="V11" s="7"/>
      <c r="W11" s="7"/>
      <c r="X11" s="7"/>
      <c r="Y11" s="7"/>
      <c r="Z11" s="7"/>
      <c r="AA11" s="7"/>
    </row>
    <row r="12" spans="2:27" ht="15" customHeight="1" thickTop="1" thickBot="1" x14ac:dyDescent="0.35">
      <c r="B12" s="5" t="s">
        <v>25</v>
      </c>
      <c r="C12" s="15" t="s">
        <v>16</v>
      </c>
      <c r="F12" t="s">
        <v>129</v>
      </c>
      <c r="G12" s="71">
        <v>1199</v>
      </c>
      <c r="H12" s="72">
        <v>1.05</v>
      </c>
      <c r="I12" s="72">
        <v>1.05</v>
      </c>
      <c r="N12" s="81" t="b">
        <f>IF(C7="hypotéka pre mladých",C9&lt;=50000,IF(C7="neúčelová (americká) hypotéka",C9&lt;=165000,IF(C7="účelová hypotéka",C9&gt;=0,"ine")))</f>
        <v>1</v>
      </c>
      <c r="O12" s="2"/>
      <c r="P12" s="2">
        <f>C10/12</f>
        <v>30</v>
      </c>
      <c r="Q12" s="2">
        <f>ROUNDDOWN(P12,0)</f>
        <v>30</v>
      </c>
      <c r="R12" s="2">
        <f>ROUND((P12-Q12)*12,0)</f>
        <v>0</v>
      </c>
      <c r="S12" s="7"/>
      <c r="T12" s="7"/>
      <c r="U12" s="7"/>
      <c r="V12" s="7"/>
      <c r="W12" s="7"/>
      <c r="X12" s="7"/>
      <c r="Y12" s="7"/>
      <c r="Z12" s="7"/>
    </row>
    <row r="13" spans="2:27" ht="15" customHeight="1" thickTop="1" thickBot="1" x14ac:dyDescent="0.35">
      <c r="B13" s="5" t="s">
        <v>24</v>
      </c>
      <c r="C13" s="16">
        <v>100000</v>
      </c>
      <c r="F13" t="s">
        <v>130</v>
      </c>
      <c r="G13" s="71">
        <v>2499</v>
      </c>
      <c r="H13" s="72">
        <v>1.05</v>
      </c>
      <c r="I13" s="72">
        <v>1.05</v>
      </c>
      <c r="N13" s="2"/>
      <c r="O13" s="2"/>
      <c r="P13" s="2"/>
      <c r="Q13" s="2" t="str">
        <f>VLOOKUP(Q12,$O$17:$P$46,2,FALSE)</f>
        <v>rokov</v>
      </c>
      <c r="R13" s="2" t="str">
        <f>VLOOKUP(R12,$Q$17:$R$29,2,FALSE)</f>
        <v>mesiacov</v>
      </c>
      <c r="S13" s="7"/>
      <c r="T13" s="7"/>
      <c r="U13" s="7"/>
      <c r="V13" s="7"/>
      <c r="W13" s="7"/>
      <c r="X13" s="7"/>
      <c r="Y13" s="7"/>
      <c r="Z13" s="7"/>
    </row>
    <row r="14" spans="2:27" ht="15" customHeight="1" thickTop="1" x14ac:dyDescent="0.3">
      <c r="F14" t="s">
        <v>132</v>
      </c>
      <c r="G14" s="71" t="s">
        <v>133</v>
      </c>
      <c r="H14" s="72">
        <v>1.05</v>
      </c>
      <c r="I14" s="72">
        <v>1.05</v>
      </c>
      <c r="O14" s="13">
        <f ca="1">TODAY()+C10*31</f>
        <v>55040</v>
      </c>
      <c r="P14" s="2">
        <f ca="1">ROUNDUP((TODAY()+C10*31-C19)/365,0)</f>
        <v>71</v>
      </c>
      <c r="Q14" s="2" t="b">
        <f ca="1">IF(ROUNDUP((TODAY()+C10*31-C19)/365,0)&lt;=65,TRUE,FALSE)</f>
        <v>0</v>
      </c>
      <c r="S14" s="7"/>
      <c r="T14" s="7"/>
      <c r="U14" s="7"/>
      <c r="V14" s="7"/>
      <c r="W14" s="7"/>
      <c r="X14" s="7"/>
      <c r="Y14" s="7"/>
      <c r="Z14" s="7"/>
    </row>
    <row r="15" spans="2:27" ht="15" customHeight="1" thickBot="1" x14ac:dyDescent="0.35">
      <c r="B15" s="6" t="s">
        <v>36</v>
      </c>
      <c r="C15" s="6"/>
      <c r="S15" s="7"/>
      <c r="T15" s="7"/>
      <c r="U15" s="7"/>
      <c r="V15" s="7"/>
      <c r="W15" s="7"/>
      <c r="X15" s="7"/>
      <c r="Y15" s="7"/>
      <c r="Z15" s="7"/>
    </row>
    <row r="16" spans="2:27" ht="15" customHeight="1" thickTop="1" thickBot="1" x14ac:dyDescent="0.35">
      <c r="B16" s="5" t="s">
        <v>0</v>
      </c>
      <c r="C16" s="15" t="s">
        <v>172</v>
      </c>
      <c r="G16" t="s">
        <v>135</v>
      </c>
      <c r="H16">
        <f>IF(C20&lt;=G11,G11,IF(C20&lt;=G12,G12,IF(C20&lt;=G13,G13,"viac")))</f>
        <v>2499</v>
      </c>
      <c r="S16" s="7"/>
      <c r="T16" s="7"/>
      <c r="U16" s="7"/>
      <c r="V16" s="7"/>
      <c r="W16" s="7"/>
      <c r="X16" s="7"/>
      <c r="Y16" s="7"/>
      <c r="Z16" s="7"/>
    </row>
    <row r="17" spans="2:27" ht="15" customHeight="1" thickTop="1" thickBot="1" x14ac:dyDescent="0.35">
      <c r="B17" s="5" t="s">
        <v>1</v>
      </c>
      <c r="C17" s="15" t="s">
        <v>173</v>
      </c>
      <c r="G17" t="s">
        <v>117</v>
      </c>
      <c r="H17">
        <f>IF(C9&lt;=H10,H10,I10)</f>
        <v>30001</v>
      </c>
      <c r="L17" s="77" t="s">
        <v>26</v>
      </c>
      <c r="O17" s="77">
        <v>1</v>
      </c>
      <c r="P17" s="77" t="s">
        <v>58</v>
      </c>
      <c r="Q17" s="77">
        <v>1</v>
      </c>
      <c r="R17" s="77" t="s">
        <v>61</v>
      </c>
      <c r="S17" s="78"/>
      <c r="T17" s="7"/>
      <c r="U17" s="7"/>
      <c r="V17" s="7"/>
      <c r="W17" s="7"/>
      <c r="X17" s="7"/>
      <c r="Y17" s="7"/>
      <c r="Z17" s="7"/>
    </row>
    <row r="18" spans="2:27" ht="15" customHeight="1" thickTop="1" thickBot="1" x14ac:dyDescent="0.35">
      <c r="B18" s="5" t="s">
        <v>37</v>
      </c>
      <c r="C18" s="15"/>
      <c r="L18" s="77" t="s">
        <v>28</v>
      </c>
      <c r="O18" s="77">
        <v>2</v>
      </c>
      <c r="P18" s="77" t="s">
        <v>59</v>
      </c>
      <c r="Q18" s="77">
        <v>2</v>
      </c>
      <c r="R18" s="77" t="s">
        <v>56</v>
      </c>
      <c r="S18" s="7"/>
      <c r="T18" s="7"/>
      <c r="U18" s="7"/>
      <c r="V18" s="7"/>
      <c r="W18" s="7"/>
      <c r="X18" s="7"/>
      <c r="Y18" s="7"/>
      <c r="Z18" s="7"/>
    </row>
    <row r="19" spans="2:27" ht="15" customHeight="1" thickTop="1" thickBot="1" x14ac:dyDescent="0.35">
      <c r="B19" s="5" t="s">
        <v>38</v>
      </c>
      <c r="C19" s="18">
        <v>29323</v>
      </c>
      <c r="F19" s="67" t="s">
        <v>136</v>
      </c>
      <c r="G19" s="67"/>
      <c r="I19" s="73"/>
      <c r="J19" s="73"/>
      <c r="K19" s="73"/>
      <c r="L19" s="77" t="s">
        <v>31</v>
      </c>
      <c r="O19" s="77">
        <v>3</v>
      </c>
      <c r="P19" s="77" t="s">
        <v>59</v>
      </c>
      <c r="Q19" s="77">
        <v>3</v>
      </c>
      <c r="R19" s="77" t="s">
        <v>56</v>
      </c>
      <c r="S19" s="7"/>
      <c r="T19" s="7"/>
      <c r="U19" s="7"/>
      <c r="V19" s="7"/>
      <c r="W19" s="7"/>
      <c r="X19" s="7"/>
      <c r="Y19" s="7"/>
      <c r="Z19" s="7"/>
    </row>
    <row r="20" spans="2:27" ht="15" customHeight="1" thickTop="1" thickBot="1" x14ac:dyDescent="0.35">
      <c r="B20" s="5" t="s">
        <v>115</v>
      </c>
      <c r="C20" s="19">
        <v>1500</v>
      </c>
      <c r="F20" t="s">
        <v>13</v>
      </c>
      <c r="G20">
        <v>0.9</v>
      </c>
      <c r="H20" s="84">
        <v>1.5</v>
      </c>
      <c r="I20" s="85">
        <f>IF(C12=F20,H20,IF(C12=F21,H21,IF(C12=F22,H22,IF(C12=F23,H23,IF(C12=F24,H24,IF(C12=F25,H25,IF(C12=F26,H26,"CHYBA")))))))</f>
        <v>1.0900000000000001</v>
      </c>
      <c r="J20" s="74"/>
      <c r="K20" s="74"/>
      <c r="L20" s="77" t="s">
        <v>54</v>
      </c>
      <c r="O20" s="77">
        <v>4</v>
      </c>
      <c r="P20" s="77" t="s">
        <v>59</v>
      </c>
      <c r="Q20" s="77">
        <v>4</v>
      </c>
      <c r="R20" s="77" t="s">
        <v>56</v>
      </c>
      <c r="S20" s="7"/>
      <c r="T20" s="7"/>
      <c r="U20" s="7"/>
      <c r="V20" s="7"/>
      <c r="W20" s="7"/>
      <c r="X20" s="7"/>
      <c r="Y20" s="7"/>
      <c r="Z20" s="7"/>
      <c r="AA20" s="7"/>
    </row>
    <row r="21" spans="2:27" ht="15" customHeight="1" thickTop="1" thickBot="1" x14ac:dyDescent="0.35">
      <c r="B21" s="5" t="s">
        <v>116</v>
      </c>
      <c r="C21" s="19">
        <v>700</v>
      </c>
      <c r="F21" t="s">
        <v>14</v>
      </c>
      <c r="G21">
        <v>0.7</v>
      </c>
      <c r="H21" s="84">
        <v>0.89</v>
      </c>
      <c r="I21" s="73"/>
      <c r="J21" s="74"/>
      <c r="K21" s="74"/>
      <c r="L21" s="77" t="s">
        <v>30</v>
      </c>
      <c r="O21" s="77">
        <v>5</v>
      </c>
      <c r="P21" s="77" t="s">
        <v>60</v>
      </c>
      <c r="Q21" s="77">
        <v>5</v>
      </c>
      <c r="R21" s="77" t="s">
        <v>62</v>
      </c>
      <c r="S21" s="7"/>
      <c r="T21" s="7"/>
      <c r="U21" s="7"/>
      <c r="V21" s="7"/>
      <c r="W21" s="7"/>
      <c r="X21" s="7"/>
      <c r="Y21" s="7"/>
      <c r="Z21" s="7"/>
      <c r="AA21" s="7"/>
    </row>
    <row r="22" spans="2:27" ht="15" customHeight="1" thickTop="1" thickBot="1" x14ac:dyDescent="0.35">
      <c r="B22" s="5" t="s">
        <v>39</v>
      </c>
      <c r="C22" s="19">
        <v>10</v>
      </c>
      <c r="F22" t="s">
        <v>175</v>
      </c>
      <c r="G22">
        <v>0.8</v>
      </c>
      <c r="H22" s="84">
        <v>0.99</v>
      </c>
      <c r="I22" s="73"/>
      <c r="J22" s="74"/>
      <c r="K22" s="74"/>
      <c r="L22" s="77" t="s">
        <v>27</v>
      </c>
      <c r="O22" s="77">
        <v>6</v>
      </c>
      <c r="P22" s="77" t="s">
        <v>60</v>
      </c>
      <c r="Q22" s="77">
        <v>6</v>
      </c>
      <c r="R22" s="77" t="s">
        <v>62</v>
      </c>
      <c r="S22" s="7"/>
      <c r="T22" s="7"/>
      <c r="U22" s="7"/>
      <c r="V22" s="7"/>
      <c r="W22" s="7"/>
      <c r="X22" s="7"/>
      <c r="Y22" s="7"/>
      <c r="Z22" s="7"/>
      <c r="AA22" s="7"/>
    </row>
    <row r="23" spans="2:27" ht="15" customHeight="1" thickTop="1" thickBot="1" x14ac:dyDescent="0.35">
      <c r="B23" s="5" t="s">
        <v>41</v>
      </c>
      <c r="C23" s="15">
        <v>3</v>
      </c>
      <c r="F23" t="s">
        <v>15</v>
      </c>
      <c r="G23">
        <v>0.8</v>
      </c>
      <c r="H23" s="84">
        <v>0.99</v>
      </c>
      <c r="I23" s="73"/>
      <c r="J23" s="74"/>
      <c r="K23" s="74"/>
      <c r="L23" s="77" t="s">
        <v>29</v>
      </c>
      <c r="O23" s="77">
        <v>7</v>
      </c>
      <c r="P23" s="77" t="s">
        <v>60</v>
      </c>
      <c r="Q23" s="77">
        <v>7</v>
      </c>
      <c r="R23" s="77" t="s">
        <v>62</v>
      </c>
      <c r="S23" s="7"/>
      <c r="T23" s="7"/>
      <c r="U23" s="7"/>
      <c r="V23" s="7"/>
      <c r="W23" s="7"/>
      <c r="X23" s="7"/>
      <c r="Y23" s="7"/>
      <c r="Z23" s="7"/>
      <c r="AA23" s="7"/>
    </row>
    <row r="24" spans="2:27" ht="15" customHeight="1" thickTop="1" thickBot="1" x14ac:dyDescent="0.35">
      <c r="B24" s="5" t="s">
        <v>40</v>
      </c>
      <c r="C24" s="15">
        <v>1</v>
      </c>
      <c r="F24" t="s">
        <v>16</v>
      </c>
      <c r="G24">
        <v>0.9</v>
      </c>
      <c r="H24" s="84">
        <v>1.0900000000000001</v>
      </c>
      <c r="I24" s="73"/>
      <c r="J24" s="73"/>
      <c r="K24" s="73"/>
      <c r="L24" s="77" t="s">
        <v>32</v>
      </c>
      <c r="O24" s="77">
        <v>8</v>
      </c>
      <c r="P24" s="77" t="s">
        <v>60</v>
      </c>
      <c r="Q24" s="77">
        <v>8</v>
      </c>
      <c r="R24" s="77" t="s">
        <v>62</v>
      </c>
      <c r="S24" s="7"/>
      <c r="T24" s="7"/>
      <c r="U24" s="7"/>
      <c r="V24" s="7"/>
      <c r="W24" s="7"/>
      <c r="X24" s="7"/>
      <c r="Y24" s="7"/>
      <c r="Z24" s="7"/>
      <c r="AA24" s="7"/>
    </row>
    <row r="25" spans="2:27" ht="15" customHeight="1" thickTop="1" x14ac:dyDescent="0.3">
      <c r="F25" t="s">
        <v>17</v>
      </c>
      <c r="G25">
        <v>4</v>
      </c>
      <c r="H25" s="84">
        <v>4.3499999999999996</v>
      </c>
      <c r="I25" s="73"/>
      <c r="J25" s="73"/>
      <c r="K25" s="73"/>
      <c r="L25" s="73"/>
      <c r="O25" s="77">
        <v>9</v>
      </c>
      <c r="P25" s="77" t="s">
        <v>60</v>
      </c>
      <c r="Q25" s="77">
        <v>9</v>
      </c>
      <c r="R25" s="77" t="s">
        <v>62</v>
      </c>
      <c r="S25" s="7"/>
      <c r="T25" s="7"/>
      <c r="U25" s="7"/>
      <c r="V25" s="7"/>
      <c r="W25" s="7"/>
      <c r="X25" s="7"/>
      <c r="Y25" s="7"/>
      <c r="Z25" s="7"/>
    </row>
    <row r="26" spans="2:27" ht="15" customHeight="1" thickBot="1" x14ac:dyDescent="0.35">
      <c r="B26" s="6" t="s">
        <v>42</v>
      </c>
      <c r="C26" s="6"/>
      <c r="F26" t="s">
        <v>18</v>
      </c>
      <c r="G26">
        <v>4.0999999999999996</v>
      </c>
      <c r="H26" s="84">
        <v>4.45</v>
      </c>
      <c r="L26" s="77" t="s">
        <v>33</v>
      </c>
      <c r="M26" s="2" t="s">
        <v>3</v>
      </c>
      <c r="N26" s="2">
        <v>0</v>
      </c>
      <c r="O26" s="77">
        <v>10</v>
      </c>
      <c r="P26" s="77" t="s">
        <v>60</v>
      </c>
      <c r="Q26" s="77">
        <v>10</v>
      </c>
      <c r="R26" s="77" t="s">
        <v>62</v>
      </c>
      <c r="S26" s="7"/>
      <c r="T26" s="7"/>
      <c r="U26" s="7"/>
      <c r="V26" s="7"/>
      <c r="W26" s="7"/>
      <c r="X26" s="7"/>
      <c r="Y26" s="7"/>
      <c r="Z26" s="7"/>
    </row>
    <row r="27" spans="2:27" ht="15" customHeight="1" thickTop="1" thickBot="1" x14ac:dyDescent="0.35">
      <c r="B27" s="5" t="s">
        <v>45</v>
      </c>
      <c r="C27" s="15" t="s">
        <v>6</v>
      </c>
      <c r="F27" s="67" t="s">
        <v>137</v>
      </c>
      <c r="G27" s="67"/>
      <c r="H27" s="67"/>
      <c r="L27" s="77" t="s">
        <v>34</v>
      </c>
      <c r="M27" s="2" t="s">
        <v>4</v>
      </c>
      <c r="N27" s="2">
        <v>-0.05</v>
      </c>
      <c r="O27" s="77">
        <v>11</v>
      </c>
      <c r="P27" s="77" t="s">
        <v>60</v>
      </c>
      <c r="Q27" s="77">
        <v>11</v>
      </c>
      <c r="R27" s="77" t="s">
        <v>62</v>
      </c>
      <c r="S27" s="7"/>
      <c r="T27" s="7"/>
      <c r="U27" s="7"/>
      <c r="V27" s="7"/>
      <c r="W27" s="7"/>
      <c r="X27" s="7"/>
      <c r="Y27" s="7"/>
      <c r="Z27" s="7"/>
    </row>
    <row r="28" spans="2:27" ht="15" customHeight="1" thickTop="1" thickBot="1" x14ac:dyDescent="0.35">
      <c r="B28" s="5" t="s">
        <v>46</v>
      </c>
      <c r="C28" s="15" t="s">
        <v>6</v>
      </c>
      <c r="F28">
        <v>70</v>
      </c>
      <c r="G28">
        <v>0.05</v>
      </c>
      <c r="L28" s="77" t="s">
        <v>35</v>
      </c>
      <c r="M28" s="2" t="s">
        <v>5</v>
      </c>
      <c r="N28" s="2">
        <v>0</v>
      </c>
      <c r="O28" s="77">
        <v>12</v>
      </c>
      <c r="P28" s="77" t="s">
        <v>60</v>
      </c>
      <c r="Q28" s="77">
        <v>12</v>
      </c>
      <c r="R28" s="77" t="s">
        <v>62</v>
      </c>
      <c r="S28" s="7"/>
      <c r="T28" s="7"/>
      <c r="U28" s="7"/>
      <c r="V28" s="7"/>
      <c r="W28" s="7"/>
      <c r="X28" s="7"/>
      <c r="Y28" s="7"/>
      <c r="Z28" s="7"/>
    </row>
    <row r="29" spans="2:27" ht="15" customHeight="1" thickTop="1" thickBot="1" x14ac:dyDescent="0.35">
      <c r="B29" s="5" t="s">
        <v>47</v>
      </c>
      <c r="C29" s="15" t="s">
        <v>6</v>
      </c>
      <c r="F29">
        <v>90</v>
      </c>
      <c r="G29">
        <v>0.3</v>
      </c>
      <c r="I29" t="s">
        <v>138</v>
      </c>
      <c r="J29">
        <f>ROUNDUP(C9/C13*100,0)</f>
        <v>70</v>
      </c>
      <c r="O29" s="77">
        <v>13</v>
      </c>
      <c r="P29" s="77" t="s">
        <v>60</v>
      </c>
      <c r="Q29" s="77">
        <v>0</v>
      </c>
      <c r="R29" s="77" t="s">
        <v>62</v>
      </c>
      <c r="U29" s="2" t="s">
        <v>110</v>
      </c>
    </row>
    <row r="30" spans="2:27" ht="15" customHeight="1" thickTop="1" thickBot="1" x14ac:dyDescent="0.35">
      <c r="B30" s="5" t="s">
        <v>171</v>
      </c>
      <c r="C30" s="15" t="s">
        <v>6</v>
      </c>
      <c r="F30">
        <v>100</v>
      </c>
      <c r="G30">
        <v>0.65</v>
      </c>
      <c r="I30" t="s">
        <v>139</v>
      </c>
      <c r="J30">
        <f>IF(J29&lt;=F28,F28,IF(J29&lt;=F31,F31,IF(J29&lt;=F29,F29,IF(J29&lt;=F30,F30,F30))))</f>
        <v>70</v>
      </c>
      <c r="O30" s="77">
        <v>14</v>
      </c>
      <c r="P30" s="77" t="s">
        <v>60</v>
      </c>
      <c r="Q30" s="77"/>
      <c r="R30" s="77"/>
      <c r="U30" s="2" t="s">
        <v>111</v>
      </c>
      <c r="V30" s="66" t="s">
        <v>112</v>
      </c>
      <c r="W30" s="66" t="s">
        <v>113</v>
      </c>
      <c r="X30" s="66" t="s">
        <v>114</v>
      </c>
      <c r="Z30" s="2" t="s">
        <v>102</v>
      </c>
      <c r="AA30" s="63">
        <f>C20+C21</f>
        <v>2200</v>
      </c>
    </row>
    <row r="31" spans="2:27" ht="15" customHeight="1" thickTop="1" x14ac:dyDescent="0.3">
      <c r="B31" s="8" t="s">
        <v>52</v>
      </c>
      <c r="C31" s="20"/>
      <c r="D31" s="2" t="s">
        <v>12</v>
      </c>
      <c r="F31">
        <v>80</v>
      </c>
      <c r="G31">
        <v>0.05</v>
      </c>
      <c r="O31" s="77">
        <v>15</v>
      </c>
      <c r="P31" s="77" t="s">
        <v>60</v>
      </c>
      <c r="Q31" s="77"/>
      <c r="R31" s="77"/>
      <c r="U31" s="2" t="s">
        <v>98</v>
      </c>
      <c r="V31" s="2">
        <v>1</v>
      </c>
      <c r="W31" s="2">
        <v>230</v>
      </c>
      <c r="X31" s="2">
        <f>V31*W31</f>
        <v>230</v>
      </c>
      <c r="Z31" s="2" t="s">
        <v>103</v>
      </c>
      <c r="AA31" s="63">
        <f>C22</f>
        <v>10</v>
      </c>
    </row>
    <row r="32" spans="2:27" ht="15" customHeight="1" x14ac:dyDescent="0.3">
      <c r="O32" s="77">
        <v>16</v>
      </c>
      <c r="P32" s="77" t="s">
        <v>60</v>
      </c>
      <c r="Q32" s="77"/>
      <c r="R32" s="77"/>
      <c r="U32" s="2" t="s">
        <v>99</v>
      </c>
      <c r="V32" s="2">
        <f>IF((C23-1-C24)&lt;0,0,(C23-1-C24))</f>
        <v>1</v>
      </c>
      <c r="W32" s="2">
        <v>125</v>
      </c>
      <c r="X32" s="2">
        <f>V32*W32</f>
        <v>125</v>
      </c>
      <c r="Z32" s="2" t="s">
        <v>104</v>
      </c>
      <c r="AA32" s="2">
        <f>X34</f>
        <v>465</v>
      </c>
    </row>
    <row r="33" spans="2:27" ht="15" customHeight="1" thickBot="1" x14ac:dyDescent="0.35">
      <c r="B33" s="6" t="s">
        <v>43</v>
      </c>
      <c r="C33" s="86">
        <f>I20</f>
        <v>1.0900000000000001</v>
      </c>
      <c r="D33" s="9" t="s">
        <v>12</v>
      </c>
      <c r="E33" s="9"/>
      <c r="F33" s="67" t="s">
        <v>140</v>
      </c>
      <c r="G33" s="67"/>
      <c r="H33" s="67"/>
      <c r="O33" s="77">
        <v>17</v>
      </c>
      <c r="P33" s="77" t="s">
        <v>60</v>
      </c>
      <c r="Q33" s="77"/>
      <c r="R33" s="77"/>
      <c r="U33" s="2" t="s">
        <v>100</v>
      </c>
      <c r="V33" s="2">
        <f>C24</f>
        <v>1</v>
      </c>
      <c r="W33" s="2">
        <v>110</v>
      </c>
      <c r="X33" s="2">
        <f>V33*W33</f>
        <v>110</v>
      </c>
      <c r="Z33" s="2" t="s">
        <v>105</v>
      </c>
      <c r="AA33" s="2">
        <v>0.3</v>
      </c>
    </row>
    <row r="34" spans="2:27" ht="15" customHeight="1" thickTop="1" x14ac:dyDescent="0.3">
      <c r="B34" s="10" t="s">
        <v>44</v>
      </c>
      <c r="C34" s="62">
        <f>-PMT(C33/12/100,C10,C9,0,0)</f>
        <v>228.05319152336625</v>
      </c>
      <c r="F34" t="s">
        <v>33</v>
      </c>
      <c r="G34">
        <v>0.15</v>
      </c>
      <c r="O34" s="77">
        <v>18</v>
      </c>
      <c r="P34" s="77" t="s">
        <v>60</v>
      </c>
      <c r="Q34" s="77"/>
      <c r="R34" s="77"/>
      <c r="U34" s="2" t="s">
        <v>101</v>
      </c>
      <c r="X34" s="2">
        <f>SUM(X31:X33)</f>
        <v>465</v>
      </c>
      <c r="Z34" s="2" t="s">
        <v>106</v>
      </c>
      <c r="AA34" s="64">
        <v>0.79</v>
      </c>
    </row>
    <row r="35" spans="2:27" ht="15" customHeight="1" x14ac:dyDescent="0.3">
      <c r="B35" s="2" t="s">
        <v>57</v>
      </c>
      <c r="D35" s="7"/>
      <c r="E35" s="7"/>
      <c r="F35" t="s">
        <v>35</v>
      </c>
      <c r="G35">
        <v>1.1000000000000001</v>
      </c>
      <c r="O35" s="77">
        <v>19</v>
      </c>
      <c r="P35" s="77" t="s">
        <v>60</v>
      </c>
      <c r="Q35" s="77"/>
      <c r="R35" s="77"/>
      <c r="Z35" s="2" t="s">
        <v>107</v>
      </c>
      <c r="AA35" s="65">
        <f>C33/100</f>
        <v>1.09E-2</v>
      </c>
    </row>
    <row r="36" spans="2:27" ht="15" customHeight="1" x14ac:dyDescent="0.3">
      <c r="F36" t="s">
        <v>34</v>
      </c>
      <c r="G36">
        <v>1.4</v>
      </c>
      <c r="O36" s="77">
        <v>20</v>
      </c>
      <c r="P36" s="77" t="s">
        <v>60</v>
      </c>
      <c r="Q36" s="77"/>
      <c r="R36" s="77"/>
    </row>
    <row r="37" spans="2:27" ht="15" customHeight="1" thickBot="1" x14ac:dyDescent="0.35">
      <c r="B37" s="6" t="s">
        <v>51</v>
      </c>
      <c r="C37" s="6"/>
      <c r="O37" s="77">
        <v>21</v>
      </c>
      <c r="P37" s="77" t="s">
        <v>60</v>
      </c>
      <c r="Q37" s="77"/>
      <c r="R37" s="77"/>
      <c r="Y37" s="2" t="s">
        <v>108</v>
      </c>
      <c r="Z37" s="63">
        <f>(AA30-AA31-AA32)/((1/AA34)+AA33)</f>
        <v>1101.6572352465644</v>
      </c>
    </row>
    <row r="38" spans="2:27" ht="15" customHeight="1" thickTop="1" thickBot="1" x14ac:dyDescent="0.35">
      <c r="B38" s="5" t="s">
        <v>48</v>
      </c>
      <c r="C38" s="21"/>
      <c r="F38" s="67" t="s">
        <v>141</v>
      </c>
      <c r="G38" s="67"/>
      <c r="H38" s="67"/>
      <c r="I38" s="67"/>
      <c r="J38" s="67"/>
      <c r="K38" s="67"/>
      <c r="L38" s="67"/>
      <c r="M38" s="67"/>
      <c r="O38" s="77">
        <v>22</v>
      </c>
      <c r="P38" s="77" t="s">
        <v>60</v>
      </c>
      <c r="Q38" s="77"/>
      <c r="R38" s="77"/>
      <c r="Y38" s="2" t="s">
        <v>109</v>
      </c>
      <c r="Z38" s="63">
        <f>Z37/(((AA35/12)*(1+AA35/12)^C10)/(((1+AA35/12)^C10)-1))</f>
        <v>338149.20963014627</v>
      </c>
    </row>
    <row r="39" spans="2:27" ht="15" customHeight="1" thickTop="1" thickBot="1" x14ac:dyDescent="0.35">
      <c r="B39" s="5" t="s">
        <v>49</v>
      </c>
      <c r="C39" s="21"/>
      <c r="G39" t="s">
        <v>2</v>
      </c>
      <c r="H39" t="s">
        <v>8</v>
      </c>
      <c r="I39" t="s">
        <v>9</v>
      </c>
      <c r="J39" t="s">
        <v>134</v>
      </c>
      <c r="L39" t="s">
        <v>2</v>
      </c>
      <c r="M39" t="str">
        <f>VLOOKUP(C27,F40:I41,2,FALSE)</f>
        <v>A</v>
      </c>
      <c r="O39" s="77">
        <v>23</v>
      </c>
      <c r="P39" s="77" t="s">
        <v>60</v>
      </c>
      <c r="Q39" s="77"/>
      <c r="R39" s="77"/>
      <c r="S39" s="7"/>
      <c r="T39" s="7"/>
      <c r="U39" s="7"/>
    </row>
    <row r="40" spans="2:27" ht="15" customHeight="1" thickTop="1" thickBot="1" x14ac:dyDescent="0.35">
      <c r="B40" s="5" t="s">
        <v>0</v>
      </c>
      <c r="C40" s="21"/>
      <c r="F40" t="s">
        <v>6</v>
      </c>
      <c r="G40" t="s">
        <v>10</v>
      </c>
      <c r="H40" t="s">
        <v>10</v>
      </c>
      <c r="I40" t="s">
        <v>10</v>
      </c>
      <c r="J40" t="s">
        <v>10</v>
      </c>
      <c r="L40" t="s">
        <v>8</v>
      </c>
      <c r="M40" t="str">
        <f>VLOOKUP(C28,F40:I41,3,FALSE)</f>
        <v>A</v>
      </c>
      <c r="O40" s="77">
        <v>24</v>
      </c>
      <c r="P40" s="77" t="s">
        <v>60</v>
      </c>
      <c r="Q40" s="77"/>
      <c r="R40" s="77"/>
      <c r="S40" s="14"/>
      <c r="T40" s="14"/>
      <c r="U40" s="14"/>
    </row>
    <row r="41" spans="2:27" ht="15" customHeight="1" thickTop="1" thickBot="1" x14ac:dyDescent="0.35">
      <c r="B41" s="5" t="s">
        <v>50</v>
      </c>
      <c r="C41" s="21"/>
      <c r="F41" t="s">
        <v>7</v>
      </c>
      <c r="G41" t="s">
        <v>11</v>
      </c>
      <c r="H41" t="s">
        <v>11</v>
      </c>
      <c r="I41" t="s">
        <v>11</v>
      </c>
      <c r="J41" t="s">
        <v>11</v>
      </c>
      <c r="L41" t="s">
        <v>9</v>
      </c>
      <c r="M41" t="str">
        <f>VLOOKUP(C29,F40:I41,4,FALSE)</f>
        <v>A</v>
      </c>
      <c r="O41" s="77">
        <v>25</v>
      </c>
      <c r="P41" s="77" t="s">
        <v>60</v>
      </c>
      <c r="Q41" s="77"/>
      <c r="R41" s="77"/>
      <c r="S41" s="79"/>
      <c r="T41" s="79"/>
      <c r="U41" s="14"/>
    </row>
    <row r="42" spans="2:27" ht="15" customHeight="1" thickTop="1" x14ac:dyDescent="0.3">
      <c r="L42" t="s">
        <v>159</v>
      </c>
      <c r="M42" t="str">
        <f>VLOOKUP(C30,F40:J41,5,FALSE)</f>
        <v>A</v>
      </c>
      <c r="O42" s="77">
        <v>26</v>
      </c>
      <c r="P42" s="77" t="s">
        <v>60</v>
      </c>
      <c r="Q42" s="77"/>
      <c r="R42" s="77"/>
      <c r="S42" s="80"/>
      <c r="T42" s="80"/>
      <c r="U42" s="14"/>
    </row>
    <row r="43" spans="2:27" ht="15" customHeight="1" x14ac:dyDescent="0.3">
      <c r="B43" s="83" t="str">
        <f>IF(C34&lt;=Z37,"Vzhľadom na príjmy a výdavky klient MÁ nárok na poskytnutie hypotéky.","Vzhľadom na príjmy a výdavky klient NEMÁ nárok na poskytnutie hypotéky.")</f>
        <v>Vzhľadom na príjmy a výdavky klient MÁ nárok na poskytnutie hypotéky.</v>
      </c>
      <c r="O43" s="77">
        <v>27</v>
      </c>
      <c r="P43" s="77" t="s">
        <v>60</v>
      </c>
      <c r="Q43" s="77"/>
      <c r="R43" s="77"/>
      <c r="S43" s="80"/>
      <c r="T43" s="80"/>
      <c r="U43" s="14"/>
    </row>
    <row r="44" spans="2:27" ht="15" customHeight="1" x14ac:dyDescent="0.3">
      <c r="O44" s="77">
        <v>28</v>
      </c>
      <c r="P44" s="77" t="s">
        <v>60</v>
      </c>
      <c r="Q44" s="77"/>
      <c r="R44" s="77"/>
      <c r="S44" s="14"/>
      <c r="T44" s="14"/>
      <c r="U44" s="14"/>
    </row>
    <row r="45" spans="2:27" ht="15" customHeight="1" x14ac:dyDescent="0.3">
      <c r="B45" s="2" t="s">
        <v>53</v>
      </c>
      <c r="F45" t="s">
        <v>143</v>
      </c>
      <c r="G45">
        <v>0.5</v>
      </c>
      <c r="I45" t="s">
        <v>128</v>
      </c>
      <c r="J45" t="str">
        <f>CONCATENATE(L39,"_",M39,"_",$C$7)</f>
        <v>AU_A_účelová hypotéka</v>
      </c>
      <c r="M45">
        <f>VLOOKUP(J45,$F$45:$G$68,2,FALSE)</f>
        <v>0.5</v>
      </c>
      <c r="O45" s="77">
        <v>29</v>
      </c>
      <c r="P45" s="77" t="s">
        <v>60</v>
      </c>
      <c r="Q45" s="77"/>
      <c r="R45" s="77"/>
      <c r="S45" s="7"/>
      <c r="T45" s="7"/>
      <c r="U45" s="7"/>
    </row>
    <row r="46" spans="2:27" ht="15" customHeight="1" x14ac:dyDescent="0.3">
      <c r="F46" t="s">
        <v>149</v>
      </c>
      <c r="G46">
        <v>0.5</v>
      </c>
      <c r="I46" t="s">
        <v>142</v>
      </c>
      <c r="J46" t="str">
        <f>CONCATENATE(L40,"_",M40,"_",$C$7)</f>
        <v>PN_A_účelová hypotéka</v>
      </c>
      <c r="M46">
        <f>VLOOKUP(J46,$F$45:$G$68,2,FALSE)</f>
        <v>0.15</v>
      </c>
      <c r="O46" s="77">
        <v>30</v>
      </c>
      <c r="P46" s="77" t="s">
        <v>60</v>
      </c>
      <c r="Q46" s="77"/>
      <c r="R46" s="77"/>
      <c r="S46" s="7"/>
      <c r="T46" s="7"/>
      <c r="U46" s="7"/>
    </row>
    <row r="47" spans="2:27" ht="15" customHeight="1" x14ac:dyDescent="0.3">
      <c r="F47" t="s">
        <v>162</v>
      </c>
      <c r="G47">
        <v>0.5</v>
      </c>
      <c r="I47" t="s">
        <v>131</v>
      </c>
      <c r="J47" t="str">
        <f>CONCATENATE(L41,"_",M41,"_",$C$7)</f>
        <v>PU_A_účelová hypotéka</v>
      </c>
      <c r="M47">
        <f>VLOOKUP(J47,$F$45:$G$68,2,FALSE)</f>
        <v>0</v>
      </c>
    </row>
    <row r="48" spans="2:27" ht="15" customHeight="1" x14ac:dyDescent="0.3">
      <c r="F48" t="s">
        <v>144</v>
      </c>
      <c r="G48">
        <v>0.15</v>
      </c>
      <c r="I48" t="s">
        <v>134</v>
      </c>
      <c r="J48" t="str">
        <f>CONCATENATE(L42,"_",M42,"_",$C$7)</f>
        <v>prémiový klient_A_účelová hypotéka</v>
      </c>
      <c r="M48">
        <f>VLOOKUP(J48,$F$45:$G$68,2,FALSE)</f>
        <v>0.15</v>
      </c>
    </row>
    <row r="49" spans="6:13" ht="15" customHeight="1" x14ac:dyDescent="0.3">
      <c r="F49" t="s">
        <v>150</v>
      </c>
      <c r="G49">
        <v>0.15</v>
      </c>
      <c r="J49" t="s">
        <v>156</v>
      </c>
      <c r="M49">
        <f>IF(AND(J30&lt;=80,C12="3 roky",C7&lt;&gt;"hypotéka pre mladých",C7&lt;&gt;"neúčelová (americká) hypotéka"),0.1,0)</f>
        <v>0</v>
      </c>
    </row>
    <row r="50" spans="6:13" ht="15" customHeight="1" x14ac:dyDescent="0.3">
      <c r="F50" t="s">
        <v>163</v>
      </c>
      <c r="G50">
        <v>0.15</v>
      </c>
    </row>
    <row r="51" spans="6:13" ht="15" customHeight="1" x14ac:dyDescent="0.3">
      <c r="F51" t="s">
        <v>145</v>
      </c>
      <c r="G51">
        <v>0</v>
      </c>
    </row>
    <row r="52" spans="6:13" ht="15" customHeight="1" x14ac:dyDescent="0.3">
      <c r="F52" t="s">
        <v>151</v>
      </c>
      <c r="G52">
        <v>0</v>
      </c>
    </row>
    <row r="53" spans="6:13" ht="15" customHeight="1" x14ac:dyDescent="0.3">
      <c r="F53" t="s">
        <v>164</v>
      </c>
      <c r="G53">
        <v>0</v>
      </c>
    </row>
    <row r="54" spans="6:13" x14ac:dyDescent="0.3">
      <c r="F54" t="s">
        <v>157</v>
      </c>
      <c r="G54">
        <v>0.15</v>
      </c>
    </row>
    <row r="55" spans="6:13" x14ac:dyDescent="0.3">
      <c r="F55" t="s">
        <v>158</v>
      </c>
      <c r="G55">
        <v>0</v>
      </c>
    </row>
    <row r="56" spans="6:13" x14ac:dyDescent="0.3">
      <c r="F56" t="s">
        <v>165</v>
      </c>
      <c r="G56">
        <v>0.15</v>
      </c>
    </row>
    <row r="57" spans="6:13" x14ac:dyDescent="0.3">
      <c r="F57" t="s">
        <v>146</v>
      </c>
      <c r="G57">
        <v>0</v>
      </c>
    </row>
    <row r="58" spans="6:13" x14ac:dyDescent="0.3">
      <c r="F58" t="s">
        <v>152</v>
      </c>
      <c r="G58">
        <v>0</v>
      </c>
      <c r="J58" s="75"/>
      <c r="K58" s="76"/>
    </row>
    <row r="59" spans="6:13" x14ac:dyDescent="0.3">
      <c r="F59" t="s">
        <v>166</v>
      </c>
      <c r="G59">
        <v>0</v>
      </c>
    </row>
    <row r="60" spans="6:13" x14ac:dyDescent="0.3">
      <c r="F60" t="s">
        <v>147</v>
      </c>
      <c r="G60">
        <v>0</v>
      </c>
    </row>
    <row r="61" spans="6:13" x14ac:dyDescent="0.3">
      <c r="F61" t="s">
        <v>153</v>
      </c>
      <c r="G61">
        <v>0</v>
      </c>
    </row>
    <row r="62" spans="6:13" x14ac:dyDescent="0.3">
      <c r="F62" t="s">
        <v>167</v>
      </c>
      <c r="G62">
        <v>0</v>
      </c>
    </row>
    <row r="63" spans="6:13" x14ac:dyDescent="0.3">
      <c r="F63" t="s">
        <v>148</v>
      </c>
      <c r="G63">
        <v>0</v>
      </c>
    </row>
    <row r="64" spans="6:13" x14ac:dyDescent="0.3">
      <c r="F64" t="s">
        <v>154</v>
      </c>
      <c r="G64">
        <v>0</v>
      </c>
    </row>
    <row r="65" spans="6:7" x14ac:dyDescent="0.3">
      <c r="F65" t="s">
        <v>168</v>
      </c>
      <c r="G65">
        <v>0</v>
      </c>
    </row>
    <row r="66" spans="6:7" x14ac:dyDescent="0.3">
      <c r="F66" t="s">
        <v>160</v>
      </c>
      <c r="G66">
        <v>0</v>
      </c>
    </row>
    <row r="67" spans="6:7" x14ac:dyDescent="0.3">
      <c r="F67" t="s">
        <v>161</v>
      </c>
      <c r="G67">
        <v>0</v>
      </c>
    </row>
    <row r="68" spans="6:7" x14ac:dyDescent="0.3">
      <c r="F68" t="s">
        <v>169</v>
      </c>
      <c r="G68">
        <v>0</v>
      </c>
    </row>
  </sheetData>
  <sheetProtection algorithmName="SHA-512" hashValue="KyYwoRip90uy48ReXr31+fZhcSK5THPGRhsG6Wo7uhaVDkQp53i0slT1lDQ/lNKUwDqlE0mnncmofn4rvwz7xg==" saltValue="d6KhydncTdL7y/aXkRb0fA==" spinCount="100000" sheet="1" objects="1" scenarios="1"/>
  <mergeCells count="3">
    <mergeCell ref="B2:D2"/>
    <mergeCell ref="B4:D4"/>
    <mergeCell ref="N8:P8"/>
  </mergeCells>
  <dataValidations xWindow="397" yWindow="870" count="12">
    <dataValidation type="custom" allowBlank="1" showInputMessage="1" showErrorMessage="1" errorTitle="Nepovolená výška úveru!" error="maximálna výška úveru:_x000a_- pri hypotéke pre mladých = 50 000 €_x000a_- pri neúčelovej hypotéke = 165 000 €" sqref="C9" xr:uid="{00000000-0002-0000-0000-000000000000}">
      <formula1>IF(C7="hypotéka pre mladých",C9&lt;=50000,IF(C7="neúčelová (americká) hypotéka",C9&lt;=165000,IF(C7="účelová hypotéka",C9&gt;=0,"ine")))</formula1>
    </dataValidation>
    <dataValidation type="custom" allowBlank="1" showInputMessage="1" showErrorMessage="1" errorTitle="Nepovolená hodnota nehnuteľnosti" error="hodnota nehnuteľnosti musí byť vyššia ako výška úveru" sqref="C13" xr:uid="{00000000-0002-0000-0000-000001000000}">
      <formula1>C13&gt;=C9</formula1>
    </dataValidation>
    <dataValidation type="custom" errorStyle="warning" allowBlank="1" showInputMessage="1" showErrorMessage="1" errorTitle="Nepovolený vek!" error="vek žiadateľa ku dňu konečnej splatnosti nesmie prekročiť 65 rokov" sqref="C19" xr:uid="{00000000-0002-0000-0000-000002000000}">
      <formula1>IF(ROUNDUP((TODAY()+C10*31-C19)/365,0)&lt;=65,TRUE,FALSE)</formula1>
    </dataValidation>
    <dataValidation type="list" allowBlank="1" showInputMessage="1" showErrorMessage="1" sqref="C27:C29" xr:uid="{00000000-0002-0000-0000-000003000000}">
      <formula1>$F$40:$F$41</formula1>
    </dataValidation>
    <dataValidation type="custom" allowBlank="1" showInputMessage="1" showErrorMessage="1" sqref="N13" xr:uid="{00000000-0002-0000-0000-000005000000}">
      <formula1>N13&lt;=360</formula1>
    </dataValidation>
    <dataValidation type="custom" errorStyle="information" allowBlank="1" showInputMessage="1" showErrorMessage="1" errorTitle="Doba splatnosti" error="doba splatnosti je max. 360 mesiacov" sqref="C10" xr:uid="{00000000-0002-0000-0000-000006000000}">
      <formula1>C10&lt;=360</formula1>
    </dataValidation>
    <dataValidation type="custom" errorStyle="warning" allowBlank="1" showInputMessage="1" showErrorMessage="1" errorTitle="drzhdr" error="drzdrzdrdr" sqref="S3" xr:uid="{00000000-0002-0000-0000-000007000000}">
      <formula1>S3&gt;100000</formula1>
    </dataValidation>
    <dataValidation type="list" allowBlank="1" showInputMessage="1" showErrorMessage="1" sqref="C8" xr:uid="{00000000-0002-0000-0000-000008000000}">
      <formula1>$L$17:$L$24</formula1>
    </dataValidation>
    <dataValidation type="list" allowBlank="1" showInputMessage="1" showErrorMessage="1" promptTitle="Prémiový klient vs. HUM" prompt="V prípade HUM nie je možné poskytnúť zľavu z ú.s. na prémiového klienta" sqref="C30" xr:uid="{00000000-0002-0000-0000-000009000000}">
      <formula1>$F$40:$F$41</formula1>
    </dataValidation>
    <dataValidation type="list" allowBlank="1" showInputMessage="1" showErrorMessage="1" sqref="C7" xr:uid="{00000000-0002-0000-0000-00000A000000}">
      <formula1>$F$34:$F$35</formula1>
    </dataValidation>
    <dataValidation type="list" allowBlank="1" showInputMessage="1" showErrorMessage="1" sqref="F6" xr:uid="{00000000-0002-0000-0000-00000B000000}">
      <formula1>"aaa,bbb"</formula1>
    </dataValidation>
    <dataValidation type="list" allowBlank="1" showInputMessage="1" showErrorMessage="1" sqref="C12" xr:uid="{00000000-0002-0000-0000-000004000000}">
      <formula1>$F$20:$F$26</formula1>
    </dataValidation>
  </dataValidations>
  <pageMargins left="0.7" right="0.7" top="0.75" bottom="0.75" header="0.3" footer="0.3"/>
  <pageSetup paperSize="9" orientation="portrait"/>
  <headerFooter>
    <oddHeader>&amp;C&amp;"Calibri"&amp;10&amp;K000000Public&amp;1#</oddHead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X51"/>
  <sheetViews>
    <sheetView showGridLines="0" workbookViewId="0">
      <selection activeCell="C41" sqref="C41"/>
    </sheetView>
  </sheetViews>
  <sheetFormatPr defaultRowHeight="15" customHeight="1" x14ac:dyDescent="0.3"/>
  <cols>
    <col min="1" max="1" width="4" style="22" customWidth="1"/>
    <col min="2" max="2" width="30.6640625" style="22" customWidth="1"/>
    <col min="3" max="3" width="12.6640625" style="22" customWidth="1"/>
    <col min="4" max="4" width="9.109375" style="22"/>
    <col min="5" max="5" width="11.5546875" style="22" customWidth="1"/>
    <col min="6" max="8" width="9.109375" style="22" customWidth="1"/>
    <col min="9" max="11" width="9.109375" style="24" customWidth="1"/>
    <col min="12" max="23" width="9.109375" style="24" hidden="1" customWidth="1"/>
    <col min="24" max="24" width="9.109375" style="24" customWidth="1"/>
    <col min="25" max="25" width="9.109375" style="22" customWidth="1"/>
    <col min="26" max="257" width="9.109375" style="22"/>
    <col min="258" max="258" width="30.6640625" style="22" customWidth="1"/>
    <col min="259" max="259" width="12.6640625" style="22" customWidth="1"/>
    <col min="260" max="262" width="9.109375" style="22"/>
    <col min="263" max="275" width="9.109375" style="22" customWidth="1"/>
    <col min="276" max="513" width="9.109375" style="22"/>
    <col min="514" max="514" width="30.6640625" style="22" customWidth="1"/>
    <col min="515" max="515" width="12.6640625" style="22" customWidth="1"/>
    <col min="516" max="518" width="9.109375" style="22"/>
    <col min="519" max="531" width="9.109375" style="22" customWidth="1"/>
    <col min="532" max="769" width="9.109375" style="22"/>
    <col min="770" max="770" width="30.6640625" style="22" customWidth="1"/>
    <col min="771" max="771" width="12.6640625" style="22" customWidth="1"/>
    <col min="772" max="774" width="9.109375" style="22"/>
    <col min="775" max="787" width="9.109375" style="22" customWidth="1"/>
    <col min="788" max="1025" width="9.109375" style="22"/>
    <col min="1026" max="1026" width="30.6640625" style="22" customWidth="1"/>
    <col min="1027" max="1027" width="12.6640625" style="22" customWidth="1"/>
    <col min="1028" max="1030" width="9.109375" style="22"/>
    <col min="1031" max="1043" width="9.109375" style="22" customWidth="1"/>
    <col min="1044" max="1281" width="9.109375" style="22"/>
    <col min="1282" max="1282" width="30.6640625" style="22" customWidth="1"/>
    <col min="1283" max="1283" width="12.6640625" style="22" customWidth="1"/>
    <col min="1284" max="1286" width="9.109375" style="22"/>
    <col min="1287" max="1299" width="9.109375" style="22" customWidth="1"/>
    <col min="1300" max="1537" width="9.109375" style="22"/>
    <col min="1538" max="1538" width="30.6640625" style="22" customWidth="1"/>
    <col min="1539" max="1539" width="12.6640625" style="22" customWidth="1"/>
    <col min="1540" max="1542" width="9.109375" style="22"/>
    <col min="1543" max="1555" width="9.109375" style="22" customWidth="1"/>
    <col min="1556" max="1793" width="9.109375" style="22"/>
    <col min="1794" max="1794" width="30.6640625" style="22" customWidth="1"/>
    <col min="1795" max="1795" width="12.6640625" style="22" customWidth="1"/>
    <col min="1796" max="1798" width="9.109375" style="22"/>
    <col min="1799" max="1811" width="9.109375" style="22" customWidth="1"/>
    <col min="1812" max="2049" width="9.109375" style="22"/>
    <col min="2050" max="2050" width="30.6640625" style="22" customWidth="1"/>
    <col min="2051" max="2051" width="12.6640625" style="22" customWidth="1"/>
    <col min="2052" max="2054" width="9.109375" style="22"/>
    <col min="2055" max="2067" width="9.109375" style="22" customWidth="1"/>
    <col min="2068" max="2305" width="9.109375" style="22"/>
    <col min="2306" max="2306" width="30.6640625" style="22" customWidth="1"/>
    <col min="2307" max="2307" width="12.6640625" style="22" customWidth="1"/>
    <col min="2308" max="2310" width="9.109375" style="22"/>
    <col min="2311" max="2323" width="9.109375" style="22" customWidth="1"/>
    <col min="2324" max="2561" width="9.109375" style="22"/>
    <col min="2562" max="2562" width="30.6640625" style="22" customWidth="1"/>
    <col min="2563" max="2563" width="12.6640625" style="22" customWidth="1"/>
    <col min="2564" max="2566" width="9.109375" style="22"/>
    <col min="2567" max="2579" width="9.109375" style="22" customWidth="1"/>
    <col min="2580" max="2817" width="9.109375" style="22"/>
    <col min="2818" max="2818" width="30.6640625" style="22" customWidth="1"/>
    <col min="2819" max="2819" width="12.6640625" style="22" customWidth="1"/>
    <col min="2820" max="2822" width="9.109375" style="22"/>
    <col min="2823" max="2835" width="9.109375" style="22" customWidth="1"/>
    <col min="2836" max="3073" width="9.109375" style="22"/>
    <col min="3074" max="3074" width="30.6640625" style="22" customWidth="1"/>
    <col min="3075" max="3075" width="12.6640625" style="22" customWidth="1"/>
    <col min="3076" max="3078" width="9.109375" style="22"/>
    <col min="3079" max="3091" width="9.109375" style="22" customWidth="1"/>
    <col min="3092" max="3329" width="9.109375" style="22"/>
    <col min="3330" max="3330" width="30.6640625" style="22" customWidth="1"/>
    <col min="3331" max="3331" width="12.6640625" style="22" customWidth="1"/>
    <col min="3332" max="3334" width="9.109375" style="22"/>
    <col min="3335" max="3347" width="9.109375" style="22" customWidth="1"/>
    <col min="3348" max="3585" width="9.109375" style="22"/>
    <col min="3586" max="3586" width="30.6640625" style="22" customWidth="1"/>
    <col min="3587" max="3587" width="12.6640625" style="22" customWidth="1"/>
    <col min="3588" max="3590" width="9.109375" style="22"/>
    <col min="3591" max="3603" width="9.109375" style="22" customWidth="1"/>
    <col min="3604" max="3841" width="9.109375" style="22"/>
    <col min="3842" max="3842" width="30.6640625" style="22" customWidth="1"/>
    <col min="3843" max="3843" width="12.6640625" style="22" customWidth="1"/>
    <col min="3844" max="3846" width="9.109375" style="22"/>
    <col min="3847" max="3859" width="9.109375" style="22" customWidth="1"/>
    <col min="3860" max="4097" width="9.109375" style="22"/>
    <col min="4098" max="4098" width="30.6640625" style="22" customWidth="1"/>
    <col min="4099" max="4099" width="12.6640625" style="22" customWidth="1"/>
    <col min="4100" max="4102" width="9.109375" style="22"/>
    <col min="4103" max="4115" width="9.109375" style="22" customWidth="1"/>
    <col min="4116" max="4353" width="9.109375" style="22"/>
    <col min="4354" max="4354" width="30.6640625" style="22" customWidth="1"/>
    <col min="4355" max="4355" width="12.6640625" style="22" customWidth="1"/>
    <col min="4356" max="4358" width="9.109375" style="22"/>
    <col min="4359" max="4371" width="9.109375" style="22" customWidth="1"/>
    <col min="4372" max="4609" width="9.109375" style="22"/>
    <col min="4610" max="4610" width="30.6640625" style="22" customWidth="1"/>
    <col min="4611" max="4611" width="12.6640625" style="22" customWidth="1"/>
    <col min="4612" max="4614" width="9.109375" style="22"/>
    <col min="4615" max="4627" width="9.109375" style="22" customWidth="1"/>
    <col min="4628" max="4865" width="9.109375" style="22"/>
    <col min="4866" max="4866" width="30.6640625" style="22" customWidth="1"/>
    <col min="4867" max="4867" width="12.6640625" style="22" customWidth="1"/>
    <col min="4868" max="4870" width="9.109375" style="22"/>
    <col min="4871" max="4883" width="9.109375" style="22" customWidth="1"/>
    <col min="4884" max="5121" width="9.109375" style="22"/>
    <col min="5122" max="5122" width="30.6640625" style="22" customWidth="1"/>
    <col min="5123" max="5123" width="12.6640625" style="22" customWidth="1"/>
    <col min="5124" max="5126" width="9.109375" style="22"/>
    <col min="5127" max="5139" width="9.109375" style="22" customWidth="1"/>
    <col min="5140" max="5377" width="9.109375" style="22"/>
    <col min="5378" max="5378" width="30.6640625" style="22" customWidth="1"/>
    <col min="5379" max="5379" width="12.6640625" style="22" customWidth="1"/>
    <col min="5380" max="5382" width="9.109375" style="22"/>
    <col min="5383" max="5395" width="9.109375" style="22" customWidth="1"/>
    <col min="5396" max="5633" width="9.109375" style="22"/>
    <col min="5634" max="5634" width="30.6640625" style="22" customWidth="1"/>
    <col min="5635" max="5635" width="12.6640625" style="22" customWidth="1"/>
    <col min="5636" max="5638" width="9.109375" style="22"/>
    <col min="5639" max="5651" width="9.109375" style="22" customWidth="1"/>
    <col min="5652" max="5889" width="9.109375" style="22"/>
    <col min="5890" max="5890" width="30.6640625" style="22" customWidth="1"/>
    <col min="5891" max="5891" width="12.6640625" style="22" customWidth="1"/>
    <col min="5892" max="5894" width="9.109375" style="22"/>
    <col min="5895" max="5907" width="9.109375" style="22" customWidth="1"/>
    <col min="5908" max="6145" width="9.109375" style="22"/>
    <col min="6146" max="6146" width="30.6640625" style="22" customWidth="1"/>
    <col min="6147" max="6147" width="12.6640625" style="22" customWidth="1"/>
    <col min="6148" max="6150" width="9.109375" style="22"/>
    <col min="6151" max="6163" width="9.109375" style="22" customWidth="1"/>
    <col min="6164" max="6401" width="9.109375" style="22"/>
    <col min="6402" max="6402" width="30.6640625" style="22" customWidth="1"/>
    <col min="6403" max="6403" width="12.6640625" style="22" customWidth="1"/>
    <col min="6404" max="6406" width="9.109375" style="22"/>
    <col min="6407" max="6419" width="9.109375" style="22" customWidth="1"/>
    <col min="6420" max="6657" width="9.109375" style="22"/>
    <col min="6658" max="6658" width="30.6640625" style="22" customWidth="1"/>
    <col min="6659" max="6659" width="12.6640625" style="22" customWidth="1"/>
    <col min="6660" max="6662" width="9.109375" style="22"/>
    <col min="6663" max="6675" width="9.109375" style="22" customWidth="1"/>
    <col min="6676" max="6913" width="9.109375" style="22"/>
    <col min="6914" max="6914" width="30.6640625" style="22" customWidth="1"/>
    <col min="6915" max="6915" width="12.6640625" style="22" customWidth="1"/>
    <col min="6916" max="6918" width="9.109375" style="22"/>
    <col min="6919" max="6931" width="9.109375" style="22" customWidth="1"/>
    <col min="6932" max="7169" width="9.109375" style="22"/>
    <col min="7170" max="7170" width="30.6640625" style="22" customWidth="1"/>
    <col min="7171" max="7171" width="12.6640625" style="22" customWidth="1"/>
    <col min="7172" max="7174" width="9.109375" style="22"/>
    <col min="7175" max="7187" width="9.109375" style="22" customWidth="1"/>
    <col min="7188" max="7425" width="9.109375" style="22"/>
    <col min="7426" max="7426" width="30.6640625" style="22" customWidth="1"/>
    <col min="7427" max="7427" width="12.6640625" style="22" customWidth="1"/>
    <col min="7428" max="7430" width="9.109375" style="22"/>
    <col min="7431" max="7443" width="9.109375" style="22" customWidth="1"/>
    <col min="7444" max="7681" width="9.109375" style="22"/>
    <col min="7682" max="7682" width="30.6640625" style="22" customWidth="1"/>
    <col min="7683" max="7683" width="12.6640625" style="22" customWidth="1"/>
    <col min="7684" max="7686" width="9.109375" style="22"/>
    <col min="7687" max="7699" width="9.109375" style="22" customWidth="1"/>
    <col min="7700" max="7937" width="9.109375" style="22"/>
    <col min="7938" max="7938" width="30.6640625" style="22" customWidth="1"/>
    <col min="7939" max="7939" width="12.6640625" style="22" customWidth="1"/>
    <col min="7940" max="7942" width="9.109375" style="22"/>
    <col min="7943" max="7955" width="9.109375" style="22" customWidth="1"/>
    <col min="7956" max="8193" width="9.109375" style="22"/>
    <col min="8194" max="8194" width="30.6640625" style="22" customWidth="1"/>
    <col min="8195" max="8195" width="12.6640625" style="22" customWidth="1"/>
    <col min="8196" max="8198" width="9.109375" style="22"/>
    <col min="8199" max="8211" width="9.109375" style="22" customWidth="1"/>
    <col min="8212" max="8449" width="9.109375" style="22"/>
    <col min="8450" max="8450" width="30.6640625" style="22" customWidth="1"/>
    <col min="8451" max="8451" width="12.6640625" style="22" customWidth="1"/>
    <col min="8452" max="8454" width="9.109375" style="22"/>
    <col min="8455" max="8467" width="9.109375" style="22" customWidth="1"/>
    <col min="8468" max="8705" width="9.109375" style="22"/>
    <col min="8706" max="8706" width="30.6640625" style="22" customWidth="1"/>
    <col min="8707" max="8707" width="12.6640625" style="22" customWidth="1"/>
    <col min="8708" max="8710" width="9.109375" style="22"/>
    <col min="8711" max="8723" width="9.109375" style="22" customWidth="1"/>
    <col min="8724" max="8961" width="9.109375" style="22"/>
    <col min="8962" max="8962" width="30.6640625" style="22" customWidth="1"/>
    <col min="8963" max="8963" width="12.6640625" style="22" customWidth="1"/>
    <col min="8964" max="8966" width="9.109375" style="22"/>
    <col min="8967" max="8979" width="9.109375" style="22" customWidth="1"/>
    <col min="8980" max="9217" width="9.109375" style="22"/>
    <col min="9218" max="9218" width="30.6640625" style="22" customWidth="1"/>
    <col min="9219" max="9219" width="12.6640625" style="22" customWidth="1"/>
    <col min="9220" max="9222" width="9.109375" style="22"/>
    <col min="9223" max="9235" width="9.109375" style="22" customWidth="1"/>
    <col min="9236" max="9473" width="9.109375" style="22"/>
    <col min="9474" max="9474" width="30.6640625" style="22" customWidth="1"/>
    <col min="9475" max="9475" width="12.6640625" style="22" customWidth="1"/>
    <col min="9476" max="9478" width="9.109375" style="22"/>
    <col min="9479" max="9491" width="9.109375" style="22" customWidth="1"/>
    <col min="9492" max="9729" width="9.109375" style="22"/>
    <col min="9730" max="9730" width="30.6640625" style="22" customWidth="1"/>
    <col min="9731" max="9731" width="12.6640625" style="22" customWidth="1"/>
    <col min="9732" max="9734" width="9.109375" style="22"/>
    <col min="9735" max="9747" width="9.109375" style="22" customWidth="1"/>
    <col min="9748" max="9985" width="9.109375" style="22"/>
    <col min="9986" max="9986" width="30.6640625" style="22" customWidth="1"/>
    <col min="9987" max="9987" width="12.6640625" style="22" customWidth="1"/>
    <col min="9988" max="9990" width="9.109375" style="22"/>
    <col min="9991" max="10003" width="9.109375" style="22" customWidth="1"/>
    <col min="10004" max="10241" width="9.109375" style="22"/>
    <col min="10242" max="10242" width="30.6640625" style="22" customWidth="1"/>
    <col min="10243" max="10243" width="12.6640625" style="22" customWidth="1"/>
    <col min="10244" max="10246" width="9.109375" style="22"/>
    <col min="10247" max="10259" width="9.109375" style="22" customWidth="1"/>
    <col min="10260" max="10497" width="9.109375" style="22"/>
    <col min="10498" max="10498" width="30.6640625" style="22" customWidth="1"/>
    <col min="10499" max="10499" width="12.6640625" style="22" customWidth="1"/>
    <col min="10500" max="10502" width="9.109375" style="22"/>
    <col min="10503" max="10515" width="9.109375" style="22" customWidth="1"/>
    <col min="10516" max="10753" width="9.109375" style="22"/>
    <col min="10754" max="10754" width="30.6640625" style="22" customWidth="1"/>
    <col min="10755" max="10755" width="12.6640625" style="22" customWidth="1"/>
    <col min="10756" max="10758" width="9.109375" style="22"/>
    <col min="10759" max="10771" width="9.109375" style="22" customWidth="1"/>
    <col min="10772" max="11009" width="9.109375" style="22"/>
    <col min="11010" max="11010" width="30.6640625" style="22" customWidth="1"/>
    <col min="11011" max="11011" width="12.6640625" style="22" customWidth="1"/>
    <col min="11012" max="11014" width="9.109375" style="22"/>
    <col min="11015" max="11027" width="9.109375" style="22" customWidth="1"/>
    <col min="11028" max="11265" width="9.109375" style="22"/>
    <col min="11266" max="11266" width="30.6640625" style="22" customWidth="1"/>
    <col min="11267" max="11267" width="12.6640625" style="22" customWidth="1"/>
    <col min="11268" max="11270" width="9.109375" style="22"/>
    <col min="11271" max="11283" width="9.109375" style="22" customWidth="1"/>
    <col min="11284" max="11521" width="9.109375" style="22"/>
    <col min="11522" max="11522" width="30.6640625" style="22" customWidth="1"/>
    <col min="11523" max="11523" width="12.6640625" style="22" customWidth="1"/>
    <col min="11524" max="11526" width="9.109375" style="22"/>
    <col min="11527" max="11539" width="9.109375" style="22" customWidth="1"/>
    <col min="11540" max="11777" width="9.109375" style="22"/>
    <col min="11778" max="11778" width="30.6640625" style="22" customWidth="1"/>
    <col min="11779" max="11779" width="12.6640625" style="22" customWidth="1"/>
    <col min="11780" max="11782" width="9.109375" style="22"/>
    <col min="11783" max="11795" width="9.109375" style="22" customWidth="1"/>
    <col min="11796" max="12033" width="9.109375" style="22"/>
    <col min="12034" max="12034" width="30.6640625" style="22" customWidth="1"/>
    <col min="12035" max="12035" width="12.6640625" style="22" customWidth="1"/>
    <col min="12036" max="12038" width="9.109375" style="22"/>
    <col min="12039" max="12051" width="9.109375" style="22" customWidth="1"/>
    <col min="12052" max="12289" width="9.109375" style="22"/>
    <col min="12290" max="12290" width="30.6640625" style="22" customWidth="1"/>
    <col min="12291" max="12291" width="12.6640625" style="22" customWidth="1"/>
    <col min="12292" max="12294" width="9.109375" style="22"/>
    <col min="12295" max="12307" width="9.109375" style="22" customWidth="1"/>
    <col min="12308" max="12545" width="9.109375" style="22"/>
    <col min="12546" max="12546" width="30.6640625" style="22" customWidth="1"/>
    <col min="12547" max="12547" width="12.6640625" style="22" customWidth="1"/>
    <col min="12548" max="12550" width="9.109375" style="22"/>
    <col min="12551" max="12563" width="9.109375" style="22" customWidth="1"/>
    <col min="12564" max="12801" width="9.109375" style="22"/>
    <col min="12802" max="12802" width="30.6640625" style="22" customWidth="1"/>
    <col min="12803" max="12803" width="12.6640625" style="22" customWidth="1"/>
    <col min="12804" max="12806" width="9.109375" style="22"/>
    <col min="12807" max="12819" width="9.109375" style="22" customWidth="1"/>
    <col min="12820" max="13057" width="9.109375" style="22"/>
    <col min="13058" max="13058" width="30.6640625" style="22" customWidth="1"/>
    <col min="13059" max="13059" width="12.6640625" style="22" customWidth="1"/>
    <col min="13060" max="13062" width="9.109375" style="22"/>
    <col min="13063" max="13075" width="9.109375" style="22" customWidth="1"/>
    <col min="13076" max="13313" width="9.109375" style="22"/>
    <col min="13314" max="13314" width="30.6640625" style="22" customWidth="1"/>
    <col min="13315" max="13315" width="12.6640625" style="22" customWidth="1"/>
    <col min="13316" max="13318" width="9.109375" style="22"/>
    <col min="13319" max="13331" width="9.109375" style="22" customWidth="1"/>
    <col min="13332" max="13569" width="9.109375" style="22"/>
    <col min="13570" max="13570" width="30.6640625" style="22" customWidth="1"/>
    <col min="13571" max="13571" width="12.6640625" style="22" customWidth="1"/>
    <col min="13572" max="13574" width="9.109375" style="22"/>
    <col min="13575" max="13587" width="9.109375" style="22" customWidth="1"/>
    <col min="13588" max="13825" width="9.109375" style="22"/>
    <col min="13826" max="13826" width="30.6640625" style="22" customWidth="1"/>
    <col min="13827" max="13827" width="12.6640625" style="22" customWidth="1"/>
    <col min="13828" max="13830" width="9.109375" style="22"/>
    <col min="13831" max="13843" width="9.109375" style="22" customWidth="1"/>
    <col min="13844" max="14081" width="9.109375" style="22"/>
    <col min="14082" max="14082" width="30.6640625" style="22" customWidth="1"/>
    <col min="14083" max="14083" width="12.6640625" style="22" customWidth="1"/>
    <col min="14084" max="14086" width="9.109375" style="22"/>
    <col min="14087" max="14099" width="9.109375" style="22" customWidth="1"/>
    <col min="14100" max="14337" width="9.109375" style="22"/>
    <col min="14338" max="14338" width="30.6640625" style="22" customWidth="1"/>
    <col min="14339" max="14339" width="12.6640625" style="22" customWidth="1"/>
    <col min="14340" max="14342" width="9.109375" style="22"/>
    <col min="14343" max="14355" width="9.109375" style="22" customWidth="1"/>
    <col min="14356" max="14593" width="9.109375" style="22"/>
    <col min="14594" max="14594" width="30.6640625" style="22" customWidth="1"/>
    <col min="14595" max="14595" width="12.6640625" style="22" customWidth="1"/>
    <col min="14596" max="14598" width="9.109375" style="22"/>
    <col min="14599" max="14611" width="9.109375" style="22" customWidth="1"/>
    <col min="14612" max="14849" width="9.109375" style="22"/>
    <col min="14850" max="14850" width="30.6640625" style="22" customWidth="1"/>
    <col min="14851" max="14851" width="12.6640625" style="22" customWidth="1"/>
    <col min="14852" max="14854" width="9.109375" style="22"/>
    <col min="14855" max="14867" width="9.109375" style="22" customWidth="1"/>
    <col min="14868" max="15105" width="9.109375" style="22"/>
    <col min="15106" max="15106" width="30.6640625" style="22" customWidth="1"/>
    <col min="15107" max="15107" width="12.6640625" style="22" customWidth="1"/>
    <col min="15108" max="15110" width="9.109375" style="22"/>
    <col min="15111" max="15123" width="9.109375" style="22" customWidth="1"/>
    <col min="15124" max="15361" width="9.109375" style="22"/>
    <col min="15362" max="15362" width="30.6640625" style="22" customWidth="1"/>
    <col min="15363" max="15363" width="12.6640625" style="22" customWidth="1"/>
    <col min="15364" max="15366" width="9.109375" style="22"/>
    <col min="15367" max="15379" width="9.109375" style="22" customWidth="1"/>
    <col min="15380" max="15617" width="9.109375" style="22"/>
    <col min="15618" max="15618" width="30.6640625" style="22" customWidth="1"/>
    <col min="15619" max="15619" width="12.6640625" style="22" customWidth="1"/>
    <col min="15620" max="15622" width="9.109375" style="22"/>
    <col min="15623" max="15635" width="9.109375" style="22" customWidth="1"/>
    <col min="15636" max="15873" width="9.109375" style="22"/>
    <col min="15874" max="15874" width="30.6640625" style="22" customWidth="1"/>
    <col min="15875" max="15875" width="12.6640625" style="22" customWidth="1"/>
    <col min="15876" max="15878" width="9.109375" style="22"/>
    <col min="15879" max="15891" width="9.109375" style="22" customWidth="1"/>
    <col min="15892" max="16129" width="9.109375" style="22"/>
    <col min="16130" max="16130" width="30.6640625" style="22" customWidth="1"/>
    <col min="16131" max="16131" width="12.6640625" style="22" customWidth="1"/>
    <col min="16132" max="16134" width="9.109375" style="22"/>
    <col min="16135" max="16147" width="9.109375" style="22" customWidth="1"/>
    <col min="16148" max="16384" width="9.109375" style="22"/>
  </cols>
  <sheetData>
    <row r="2" spans="1:18" s="24" customFormat="1" ht="15" customHeight="1" x14ac:dyDescent="0.3">
      <c r="A2" s="22"/>
      <c r="B2" s="94" t="s">
        <v>63</v>
      </c>
      <c r="C2" s="94"/>
      <c r="D2" s="94"/>
      <c r="E2" s="23"/>
      <c r="F2" s="23"/>
      <c r="G2" s="22"/>
      <c r="H2" s="22"/>
    </row>
    <row r="4" spans="1:18" s="24" customFormat="1" ht="15" customHeight="1" x14ac:dyDescent="0.3">
      <c r="A4" s="22"/>
      <c r="B4" s="22" t="s">
        <v>64</v>
      </c>
      <c r="C4" s="22"/>
      <c r="D4" s="22"/>
      <c r="E4" s="22"/>
      <c r="F4" s="22"/>
      <c r="G4" s="22"/>
      <c r="H4" s="22"/>
    </row>
    <row r="5" spans="1:18" s="24" customFormat="1" ht="15" customHeight="1" x14ac:dyDescent="0.3">
      <c r="A5" s="22"/>
      <c r="B5" s="22" t="s">
        <v>65</v>
      </c>
      <c r="C5" s="22"/>
      <c r="D5" s="22"/>
      <c r="E5" s="22"/>
      <c r="F5" s="22"/>
      <c r="G5" s="22"/>
      <c r="H5" s="22"/>
    </row>
    <row r="6" spans="1:18" s="24" customFormat="1" ht="15" customHeight="1" x14ac:dyDescent="0.3">
      <c r="A6" s="22"/>
      <c r="B6" s="22" t="s">
        <v>91</v>
      </c>
      <c r="C6" s="22"/>
      <c r="D6" s="22"/>
      <c r="E6" s="22"/>
      <c r="F6" s="22"/>
      <c r="G6" s="22"/>
      <c r="H6" s="22"/>
    </row>
    <row r="7" spans="1:18" s="24" customFormat="1" ht="15" customHeight="1" x14ac:dyDescent="0.3">
      <c r="A7" s="22"/>
      <c r="B7" s="22" t="s">
        <v>92</v>
      </c>
      <c r="C7" s="22"/>
      <c r="D7" s="22"/>
      <c r="E7" s="22"/>
      <c r="F7" s="22"/>
      <c r="G7" s="22"/>
      <c r="H7" s="22"/>
    </row>
    <row r="8" spans="1:18" s="24" customFormat="1" ht="15" customHeight="1" thickBot="1" x14ac:dyDescent="0.35">
      <c r="A8" s="22"/>
      <c r="B8" s="22"/>
      <c r="C8" s="22"/>
      <c r="D8" s="22"/>
      <c r="E8" s="22"/>
      <c r="F8" s="22"/>
      <c r="G8" s="22"/>
      <c r="H8" s="22"/>
    </row>
    <row r="9" spans="1:18" s="24" customFormat="1" ht="15" customHeight="1" thickTop="1" thickBot="1" x14ac:dyDescent="0.35">
      <c r="A9" s="22"/>
      <c r="B9" s="44" t="s">
        <v>66</v>
      </c>
      <c r="C9" s="41">
        <f>Ponuka!C9</f>
        <v>70000</v>
      </c>
    </row>
    <row r="10" spans="1:18" s="24" customFormat="1" ht="15" customHeight="1" thickTop="1" thickBot="1" x14ac:dyDescent="0.35">
      <c r="A10" s="22"/>
      <c r="B10" s="44" t="s">
        <v>43</v>
      </c>
      <c r="C10" s="42">
        <f>Ponuka!C33/100</f>
        <v>1.09E-2</v>
      </c>
    </row>
    <row r="11" spans="1:18" s="24" customFormat="1" ht="15" customHeight="1" thickTop="1" thickBot="1" x14ac:dyDescent="0.35">
      <c r="A11" s="22"/>
      <c r="B11" s="44" t="s">
        <v>67</v>
      </c>
      <c r="C11" s="43">
        <f>Ponuka!C10</f>
        <v>360</v>
      </c>
      <c r="D11" s="22" t="s">
        <v>62</v>
      </c>
    </row>
    <row r="12" spans="1:18" s="24" customFormat="1" ht="15" customHeight="1" thickTop="1" thickBot="1" x14ac:dyDescent="0.35">
      <c r="A12" s="22"/>
      <c r="B12" s="44" t="s">
        <v>44</v>
      </c>
      <c r="C12" s="60">
        <f>-PMT(C10/12,C11,C9,0,0)</f>
        <v>228.05319152336625</v>
      </c>
      <c r="G12" s="22"/>
      <c r="H12" s="22"/>
    </row>
    <row r="13" spans="1:18" s="24" customFormat="1" ht="15" customHeight="1" thickTop="1" thickBot="1" x14ac:dyDescent="0.35">
      <c r="A13" s="22"/>
      <c r="B13" s="45"/>
      <c r="C13" s="22"/>
      <c r="D13" s="22"/>
      <c r="E13" s="22"/>
      <c r="F13" s="25"/>
      <c r="G13" s="22"/>
      <c r="H13" s="22"/>
      <c r="O13" s="24">
        <f>C11/12</f>
        <v>30</v>
      </c>
    </row>
    <row r="14" spans="1:18" s="24" customFormat="1" ht="15" customHeight="1" thickTop="1" thickBot="1" x14ac:dyDescent="0.35">
      <c r="A14" s="22"/>
      <c r="B14" s="53" t="s">
        <v>68</v>
      </c>
      <c r="C14" s="57">
        <v>500</v>
      </c>
      <c r="D14" s="26" t="s">
        <v>69</v>
      </c>
      <c r="E14" s="59">
        <v>50</v>
      </c>
      <c r="H14" s="22"/>
      <c r="O14" s="24">
        <f>ROUNDDOWN(O13,0)</f>
        <v>30</v>
      </c>
      <c r="P14" s="24" t="s">
        <v>60</v>
      </c>
      <c r="Q14" s="24" t="str">
        <f>CONCATENATE(O14," ",P14)</f>
        <v>30 rokov</v>
      </c>
    </row>
    <row r="15" spans="1:18" s="24" customFormat="1" ht="15" customHeight="1" thickTop="1" thickBot="1" x14ac:dyDescent="0.35">
      <c r="A15" s="22"/>
      <c r="B15" s="46"/>
      <c r="C15" s="22"/>
      <c r="D15" s="26" t="s">
        <v>70</v>
      </c>
      <c r="E15" s="59">
        <f>IF(1.5%*C9&lt;200,200,1.5%*C9)</f>
        <v>1050</v>
      </c>
      <c r="F15" s="22"/>
      <c r="G15" s="22"/>
      <c r="H15" s="22"/>
      <c r="O15" s="24">
        <f>ROUND((O13-O14)*12,0)</f>
        <v>0</v>
      </c>
      <c r="P15" s="24" t="s">
        <v>62</v>
      </c>
      <c r="Q15" s="24" t="str">
        <f>IF(O15=0," ",R15)</f>
        <v xml:space="preserve"> </v>
      </c>
      <c r="R15" s="24" t="str">
        <f>CONCATENATE(O15," ",P15)</f>
        <v>0 mesiacov</v>
      </c>
    </row>
    <row r="16" spans="1:18" s="24" customFormat="1" ht="15" customHeight="1" thickTop="1" thickBot="1" x14ac:dyDescent="0.35">
      <c r="A16" s="22"/>
      <c r="B16" s="54" t="s">
        <v>71</v>
      </c>
      <c r="C16" s="27"/>
      <c r="D16" s="22"/>
      <c r="E16" s="22"/>
      <c r="F16" s="22"/>
      <c r="G16" s="22"/>
      <c r="H16" s="22"/>
    </row>
    <row r="17" spans="1:18" s="24" customFormat="1" ht="15" customHeight="1" thickTop="1" thickBot="1" x14ac:dyDescent="0.35">
      <c r="A17" s="22"/>
      <c r="B17" s="55" t="s">
        <v>72</v>
      </c>
      <c r="C17" s="58">
        <v>4</v>
      </c>
      <c r="D17" s="28" t="s">
        <v>73</v>
      </c>
      <c r="E17" s="40" t="s">
        <v>74</v>
      </c>
      <c r="F17" s="22"/>
      <c r="G17" s="22"/>
      <c r="H17" s="22"/>
    </row>
    <row r="18" spans="1:18" s="24" customFormat="1" ht="15" customHeight="1" thickTop="1" x14ac:dyDescent="0.3">
      <c r="A18" s="22"/>
      <c r="B18" s="46"/>
      <c r="C18" s="22"/>
      <c r="D18" s="22"/>
      <c r="E18" s="22"/>
      <c r="F18" s="22"/>
      <c r="G18" s="22"/>
      <c r="H18" s="22"/>
    </row>
    <row r="19" spans="1:18" s="24" customFormat="1" ht="15" customHeight="1" x14ac:dyDescent="0.3">
      <c r="A19" s="22"/>
      <c r="B19" s="47" t="s">
        <v>75</v>
      </c>
      <c r="C19" s="22"/>
      <c r="D19" s="22"/>
      <c r="E19" s="22"/>
      <c r="F19" s="22"/>
      <c r="G19" s="22"/>
      <c r="H19" s="22"/>
      <c r="I19" s="22"/>
      <c r="O19" s="29">
        <f>C11*C12-C12*297-C14</f>
        <v>13867.351065972078</v>
      </c>
      <c r="P19" s="22"/>
    </row>
    <row r="20" spans="1:18" s="24" customFormat="1" ht="15" customHeight="1" thickBot="1" x14ac:dyDescent="0.35">
      <c r="A20" s="22"/>
      <c r="B20" s="46" t="s">
        <v>76</v>
      </c>
      <c r="C20" s="22"/>
      <c r="D20" s="22"/>
      <c r="E20" s="22"/>
      <c r="F20" s="22"/>
      <c r="G20" s="22"/>
      <c r="H20" s="22"/>
      <c r="I20" s="22"/>
      <c r="O20" s="22">
        <f>ROUNDDOWN(NPER(C10/12,-C12,C9-C14,0,0),0)</f>
        <v>356</v>
      </c>
      <c r="P20" s="22"/>
    </row>
    <row r="21" spans="1:18" s="24" customFormat="1" ht="15" customHeight="1" thickTop="1" thickBot="1" x14ac:dyDescent="0.35">
      <c r="A21" s="22"/>
      <c r="B21" s="56" t="s">
        <v>77</v>
      </c>
      <c r="C21" s="48">
        <f>C11*C12-C12*NPER(C10/12,-C12,C9-C14,0,0)-C14</f>
        <v>192.65674419308198</v>
      </c>
      <c r="D21" s="49"/>
      <c r="E21" s="22"/>
      <c r="F21" s="22"/>
      <c r="G21" s="22"/>
      <c r="H21" s="22"/>
      <c r="I21" s="22"/>
      <c r="O21" s="22"/>
      <c r="P21" s="22"/>
    </row>
    <row r="22" spans="1:18" s="24" customFormat="1" ht="15" customHeight="1" thickTop="1" thickBot="1" x14ac:dyDescent="0.35">
      <c r="A22" s="22"/>
      <c r="B22" s="56" t="s">
        <v>78</v>
      </c>
      <c r="C22" s="50" t="str">
        <f>CONCATENATE(ROUNDDOWN(O20/12,0)," ","rokov")&amp;" "&amp;CONCATENATE(ROUND(((O20/12-ROUNDDOWN(O20/12,0))*12),0)," ","mesiacov")</f>
        <v>29 rokov 8 mesiacov</v>
      </c>
      <c r="D22" s="49"/>
      <c r="E22" s="22"/>
      <c r="F22" s="22"/>
      <c r="G22" s="22"/>
      <c r="H22" s="22"/>
      <c r="I22" s="22"/>
      <c r="O22" s="22"/>
      <c r="P22" s="22"/>
      <c r="R22" s="24">
        <v>1</v>
      </c>
    </row>
    <row r="23" spans="1:18" s="24" customFormat="1" ht="15" customHeight="1" thickTop="1" x14ac:dyDescent="0.3">
      <c r="A23" s="22"/>
      <c r="B23" s="30" t="s">
        <v>79</v>
      </c>
      <c r="C23" s="30"/>
      <c r="D23" s="31"/>
      <c r="E23" s="22"/>
      <c r="F23" s="22"/>
      <c r="G23" s="22"/>
      <c r="H23" s="22"/>
      <c r="I23" s="22"/>
      <c r="O23" s="22"/>
      <c r="P23" s="22"/>
      <c r="R23" s="24">
        <v>2</v>
      </c>
    </row>
    <row r="24" spans="1:18" s="24" customFormat="1" ht="15" customHeight="1" thickBot="1" x14ac:dyDescent="0.35">
      <c r="A24" s="22"/>
      <c r="B24" s="30" t="s">
        <v>80</v>
      </c>
      <c r="C24" s="30"/>
      <c r="D24" s="32"/>
      <c r="E24" s="22"/>
      <c r="F24" s="22"/>
      <c r="G24" s="22"/>
      <c r="H24" s="22"/>
      <c r="I24" s="22"/>
      <c r="O24" s="22">
        <f>ROUNDDOWN(NPER(C10/12,-(C12+C14),C9,0,0),0)</f>
        <v>100</v>
      </c>
      <c r="P24" s="22"/>
      <c r="Q24" s="24">
        <f>NPER(C10/12,-(C12+C14),C9,0,0)</f>
        <v>100.65257765921402</v>
      </c>
      <c r="R24" s="24">
        <v>3</v>
      </c>
    </row>
    <row r="25" spans="1:18" s="24" customFormat="1" ht="15" customHeight="1" thickTop="1" x14ac:dyDescent="0.3">
      <c r="A25" s="22"/>
      <c r="B25" s="30" t="s">
        <v>81</v>
      </c>
      <c r="C25" s="95">
        <f>RATE(C11,-((C12*O20+C14)/C11),C9,0,0)*12</f>
        <v>1.0546183402364271E-2</v>
      </c>
      <c r="D25" s="96"/>
      <c r="E25" s="22"/>
      <c r="F25" s="22"/>
      <c r="G25" s="22"/>
      <c r="H25" s="22"/>
      <c r="R25" s="24">
        <v>4</v>
      </c>
    </row>
    <row r="26" spans="1:18" s="24" customFormat="1" ht="15" customHeight="1" x14ac:dyDescent="0.3">
      <c r="A26" s="22"/>
      <c r="B26" s="46"/>
      <c r="C26" s="22"/>
      <c r="D26" s="22"/>
      <c r="E26" s="22"/>
      <c r="F26" s="22"/>
      <c r="G26" s="22"/>
      <c r="H26" s="22"/>
      <c r="R26" s="24">
        <v>5</v>
      </c>
    </row>
    <row r="27" spans="1:18" s="24" customFormat="1" ht="15" customHeight="1" thickBot="1" x14ac:dyDescent="0.35">
      <c r="A27" s="22"/>
      <c r="B27" s="46" t="s">
        <v>82</v>
      </c>
      <c r="C27" s="22"/>
      <c r="D27" s="22"/>
      <c r="E27" s="22"/>
      <c r="F27" s="22"/>
      <c r="G27" s="22"/>
      <c r="H27" s="22"/>
      <c r="R27" s="24">
        <v>6</v>
      </c>
    </row>
    <row r="28" spans="1:18" s="24" customFormat="1" ht="15" customHeight="1" thickTop="1" thickBot="1" x14ac:dyDescent="0.35">
      <c r="A28" s="22"/>
      <c r="B28" s="56" t="s">
        <v>77</v>
      </c>
      <c r="C28" s="48">
        <f>C11*C12-NPER(C10/12,-(C12+C14),C9,0,0)*(C12+C14)</f>
        <v>8818.7185485676164</v>
      </c>
      <c r="D28" s="49"/>
      <c r="E28" s="22"/>
      <c r="F28" s="22"/>
      <c r="G28" s="22"/>
      <c r="H28" s="22"/>
      <c r="R28" s="24">
        <v>7</v>
      </c>
    </row>
    <row r="29" spans="1:18" s="24" customFormat="1" ht="15" customHeight="1" thickTop="1" thickBot="1" x14ac:dyDescent="0.35">
      <c r="A29" s="22"/>
      <c r="B29" s="56" t="s">
        <v>78</v>
      </c>
      <c r="C29" s="50" t="str">
        <f>CONCATENATE(ROUNDDOWN(O24/12,0)," ","rokov")&amp;" "&amp;CONCATENATE(ROUND(((O24/12-ROUNDDOWN(O24/12,0))*12),0)," ","mesiacov")</f>
        <v>8 rokov 4 mesiacov</v>
      </c>
      <c r="D29" s="49"/>
      <c r="E29" s="22"/>
      <c r="F29" s="22"/>
      <c r="G29" s="22"/>
      <c r="H29" s="22"/>
      <c r="R29" s="24">
        <v>8</v>
      </c>
    </row>
    <row r="30" spans="1:18" s="24" customFormat="1" ht="15" customHeight="1" thickTop="1" x14ac:dyDescent="0.3">
      <c r="A30" s="22"/>
      <c r="B30" s="30" t="s">
        <v>83</v>
      </c>
      <c r="C30" s="30"/>
      <c r="D30" s="31"/>
      <c r="E30" s="22"/>
      <c r="F30" s="22"/>
      <c r="G30" s="22"/>
      <c r="H30" s="22"/>
      <c r="R30" s="24">
        <v>9</v>
      </c>
    </row>
    <row r="31" spans="1:18" s="24" customFormat="1" ht="15" customHeight="1" thickBot="1" x14ac:dyDescent="0.35">
      <c r="A31" s="22"/>
      <c r="B31" s="30" t="s">
        <v>80</v>
      </c>
      <c r="C31" s="30"/>
      <c r="D31" s="32"/>
      <c r="E31" s="22"/>
      <c r="F31" s="22"/>
      <c r="G31" s="22"/>
      <c r="H31" s="22"/>
      <c r="R31" s="24">
        <v>10</v>
      </c>
    </row>
    <row r="32" spans="1:18" s="24" customFormat="1" ht="15" customHeight="1" thickTop="1" thickBot="1" x14ac:dyDescent="0.35">
      <c r="A32" s="22"/>
      <c r="B32" s="30" t="s">
        <v>81</v>
      </c>
      <c r="C32" s="95">
        <f>RATE(C11,-((O24*(C12+C14))/C11),C9,0,0)*12</f>
        <v>2.6298543469316714E-3</v>
      </c>
      <c r="D32" s="96"/>
      <c r="E32" s="22"/>
      <c r="F32" s="22"/>
      <c r="G32" s="22"/>
      <c r="H32" s="22"/>
      <c r="R32" s="24">
        <v>11</v>
      </c>
    </row>
    <row r="33" spans="1:19" s="24" customFormat="1" ht="15" customHeight="1" thickTop="1" thickBot="1" x14ac:dyDescent="0.35">
      <c r="A33" s="22"/>
      <c r="B33" s="46"/>
      <c r="C33" s="22"/>
      <c r="D33" s="22"/>
      <c r="E33" s="22"/>
      <c r="F33" s="22"/>
      <c r="G33" s="22"/>
      <c r="H33" s="22"/>
      <c r="O33" s="33">
        <f>C14*C17</f>
        <v>2000</v>
      </c>
      <c r="P33" s="24" t="s">
        <v>84</v>
      </c>
      <c r="R33" s="24">
        <v>12</v>
      </c>
    </row>
    <row r="34" spans="1:19" s="24" customFormat="1" ht="15" customHeight="1" thickTop="1" thickBot="1" x14ac:dyDescent="0.35">
      <c r="A34" s="22"/>
      <c r="B34" s="46" t="s">
        <v>85</v>
      </c>
      <c r="C34" s="34" t="str">
        <f>CONCATENATE(C17," ",D17," ",E17)</f>
        <v>4 krát v každom roku</v>
      </c>
      <c r="E34" s="22"/>
      <c r="F34" s="22"/>
      <c r="G34" s="22"/>
      <c r="H34" s="22"/>
      <c r="O34" s="24">
        <f>(C14*C17)/12</f>
        <v>166.66666666666666</v>
      </c>
      <c r="P34" s="24" t="s">
        <v>74</v>
      </c>
    </row>
    <row r="35" spans="1:19" s="24" customFormat="1" ht="15" customHeight="1" thickTop="1" thickBot="1" x14ac:dyDescent="0.35">
      <c r="A35" s="22"/>
      <c r="B35" s="56" t="s">
        <v>77</v>
      </c>
      <c r="C35" s="48">
        <f>IF(E17="v tomto roku",O39,Q39)</f>
        <v>5737.0210786033567</v>
      </c>
      <c r="D35" s="51"/>
      <c r="E35" s="22"/>
      <c r="F35" s="22"/>
      <c r="G35" s="22"/>
      <c r="H35" s="22"/>
    </row>
    <row r="36" spans="1:19" s="24" customFormat="1" ht="15" customHeight="1" thickTop="1" thickBot="1" x14ac:dyDescent="0.35">
      <c r="A36" s="22"/>
      <c r="B36" s="56" t="s">
        <v>78</v>
      </c>
      <c r="C36" s="50" t="str">
        <f>IF(E17="v tomto roku",O40,Q40)</f>
        <v>16 rokov 1 mesiacov</v>
      </c>
      <c r="D36" s="52"/>
      <c r="E36" s="22"/>
      <c r="F36" s="22"/>
      <c r="G36" s="22"/>
      <c r="H36" s="22"/>
    </row>
    <row r="37" spans="1:19" s="24" customFormat="1" ht="15" customHeight="1" thickTop="1" x14ac:dyDescent="0.3">
      <c r="A37" s="22"/>
      <c r="B37" s="36" t="s">
        <v>86</v>
      </c>
      <c r="C37" s="35" t="str">
        <f>CONCATENATE(C17," ",D17," ",E17,",")</f>
        <v>4 krát v každom roku,</v>
      </c>
      <c r="D37" s="31"/>
      <c r="E37" s="22"/>
      <c r="F37" s="22"/>
      <c r="G37" s="22"/>
      <c r="H37" s="22"/>
    </row>
    <row r="38" spans="1:19" s="24" customFormat="1" ht="15" customHeight="1" thickBot="1" x14ac:dyDescent="0.35">
      <c r="A38" s="22"/>
      <c r="B38" s="36" t="s">
        <v>80</v>
      </c>
      <c r="C38" s="36"/>
      <c r="D38" s="32"/>
      <c r="E38" s="22"/>
      <c r="F38" s="22"/>
      <c r="G38" s="22"/>
      <c r="H38" s="22"/>
      <c r="O38" s="97" t="s">
        <v>87</v>
      </c>
      <c r="P38" s="97"/>
      <c r="Q38" s="98" t="s">
        <v>74</v>
      </c>
      <c r="R38" s="98"/>
    </row>
    <row r="39" spans="1:19" s="24" customFormat="1" ht="15" customHeight="1" thickTop="1" thickBot="1" x14ac:dyDescent="0.35">
      <c r="A39" s="22"/>
      <c r="B39" s="36" t="s">
        <v>81</v>
      </c>
      <c r="C39" s="90">
        <f>IF(E17="v tomto roku",O41,Q41)</f>
        <v>5.7079623714512522E-3</v>
      </c>
      <c r="D39" s="91"/>
      <c r="E39" s="22"/>
      <c r="F39" s="22"/>
      <c r="G39" s="22"/>
      <c r="H39" s="22"/>
      <c r="O39" s="92">
        <f>C11*C12-C12*NPER(C10/12,-C12,C9-O33,0,0)-O33</f>
        <v>759.23980333983491</v>
      </c>
      <c r="P39" s="93"/>
      <c r="Q39" s="92">
        <f>C11*C12-NPER(C10/12,-(C12+O34),C9,0,0)*(C12+O34)</f>
        <v>5737.0210786033567</v>
      </c>
      <c r="R39" s="93"/>
      <c r="S39" s="37">
        <f>ROUNDDOWN(NPER(C10/12,-C12,C9-O33,0,0),0)</f>
        <v>347</v>
      </c>
    </row>
    <row r="40" spans="1:19" s="24" customFormat="1" ht="15" customHeight="1" thickTop="1" thickBot="1" x14ac:dyDescent="0.35">
      <c r="A40" s="22"/>
      <c r="B40" s="22"/>
      <c r="C40" s="22"/>
      <c r="D40" s="22"/>
      <c r="E40" s="22"/>
      <c r="F40" s="22"/>
      <c r="G40" s="22"/>
      <c r="H40" s="22"/>
      <c r="O40" s="99" t="str">
        <f>CONCATENATE(ROUNDDOWN(S39/12,0)," ","rokov")&amp;" "&amp;CONCATENATE(ROUND(((S39/12-ROUNDDOWN(S39/12,0))*12),0)," ","mesiacov")</f>
        <v>28 rokov 11 mesiacov</v>
      </c>
      <c r="P40" s="100"/>
      <c r="Q40" s="92" t="str">
        <f>CONCATENATE(ROUNDDOWN(S40/12,0)," ","rokov")&amp;" "&amp;CONCATENATE(ROUND(((S40/12-ROUNDDOWN(S40/12,0))*12),0)," ","mesiacov")</f>
        <v>16 rokov 1 mesiacov</v>
      </c>
      <c r="R40" s="93"/>
      <c r="S40" s="24">
        <f>ROUNDDOWN(NPER(C10/12,-(C12+O34),C9,0,0),0)</f>
        <v>193</v>
      </c>
    </row>
    <row r="41" spans="1:19" s="24" customFormat="1" ht="15" customHeight="1" thickTop="1" thickBot="1" x14ac:dyDescent="0.35">
      <c r="A41" s="22"/>
      <c r="B41" s="22" t="s">
        <v>88</v>
      </c>
      <c r="C41" s="22"/>
      <c r="D41" s="22"/>
      <c r="E41" s="22"/>
      <c r="F41" s="22"/>
      <c r="G41" s="22"/>
      <c r="H41" s="22"/>
      <c r="O41" s="101">
        <f>RATE(C11,-((C12*S39+O33)/C11),C9,0,0)*12</f>
        <v>1.0070211756163254E-2</v>
      </c>
      <c r="P41" s="102"/>
      <c r="Q41" s="101">
        <f>RATE(C11,-((S40*(C12+O34))/C11),C9,0,0)*12</f>
        <v>5.7079623714512522E-3</v>
      </c>
      <c r="R41" s="102"/>
    </row>
    <row r="42" spans="1:19" s="24" customFormat="1" ht="15" customHeight="1" thickTop="1" x14ac:dyDescent="0.3">
      <c r="A42" s="22"/>
      <c r="B42" s="22" t="s">
        <v>93</v>
      </c>
      <c r="C42" s="22"/>
      <c r="D42" s="22"/>
      <c r="E42" s="22"/>
      <c r="F42" s="38"/>
      <c r="G42" s="22"/>
      <c r="H42" s="22"/>
    </row>
    <row r="43" spans="1:19" s="24" customFormat="1" ht="15" customHeight="1" x14ac:dyDescent="0.3">
      <c r="A43" s="22"/>
      <c r="B43" s="22" t="s">
        <v>94</v>
      </c>
      <c r="C43" s="22"/>
      <c r="D43" s="22"/>
      <c r="E43" s="22"/>
      <c r="F43" s="38"/>
      <c r="G43" s="22"/>
      <c r="H43" s="22"/>
    </row>
    <row r="44" spans="1:19" s="24" customFormat="1" ht="6" customHeight="1" x14ac:dyDescent="0.3">
      <c r="A44" s="22"/>
      <c r="B44" s="22"/>
      <c r="C44" s="22"/>
      <c r="D44" s="22"/>
      <c r="E44" s="22"/>
      <c r="F44" s="38"/>
      <c r="G44" s="22"/>
      <c r="H44" s="22"/>
    </row>
    <row r="45" spans="1:19" s="24" customFormat="1" ht="15" customHeight="1" x14ac:dyDescent="0.3">
      <c r="A45" s="22"/>
      <c r="B45" s="22" t="s">
        <v>89</v>
      </c>
      <c r="C45" s="22"/>
      <c r="D45" s="22"/>
      <c r="E45" s="22"/>
      <c r="F45" s="38"/>
      <c r="G45" s="22"/>
      <c r="H45" s="22"/>
    </row>
    <row r="46" spans="1:19" s="24" customFormat="1" ht="15" customHeight="1" x14ac:dyDescent="0.3">
      <c r="A46" s="22"/>
      <c r="B46" s="22" t="s">
        <v>95</v>
      </c>
      <c r="C46" s="22"/>
      <c r="D46" s="22"/>
      <c r="E46" s="22"/>
      <c r="F46" s="38"/>
      <c r="G46" s="22"/>
      <c r="H46" s="22"/>
    </row>
    <row r="47" spans="1:19" s="24" customFormat="1" ht="15" customHeight="1" x14ac:dyDescent="0.3">
      <c r="A47" s="22"/>
      <c r="B47" s="22" t="s">
        <v>96</v>
      </c>
      <c r="C47" s="22"/>
      <c r="D47" s="22"/>
      <c r="E47" s="22"/>
      <c r="F47" s="22"/>
      <c r="G47" s="22"/>
      <c r="H47" s="22"/>
    </row>
    <row r="49" spans="1:8" s="24" customFormat="1" ht="15" customHeight="1" x14ac:dyDescent="0.3">
      <c r="A49" s="22"/>
      <c r="B49" s="103" t="s">
        <v>90</v>
      </c>
      <c r="C49" s="103"/>
      <c r="D49" s="103"/>
      <c r="E49" s="103"/>
      <c r="F49" s="103"/>
      <c r="G49" s="103"/>
      <c r="H49" s="39"/>
    </row>
    <row r="50" spans="1:8" s="24" customFormat="1" ht="15" customHeight="1" x14ac:dyDescent="0.3">
      <c r="A50" s="22"/>
      <c r="B50" s="103"/>
      <c r="C50" s="103"/>
      <c r="D50" s="103"/>
      <c r="E50" s="103"/>
      <c r="F50" s="103"/>
      <c r="G50" s="103"/>
      <c r="H50" s="39"/>
    </row>
    <row r="51" spans="1:8" s="24" customFormat="1" ht="15" customHeight="1" x14ac:dyDescent="0.3">
      <c r="A51" s="22"/>
      <c r="B51" s="103"/>
      <c r="C51" s="103"/>
      <c r="D51" s="103"/>
      <c r="E51" s="103"/>
      <c r="F51" s="103"/>
      <c r="G51" s="103"/>
      <c r="H51" s="39"/>
    </row>
  </sheetData>
  <sheetProtection algorithmName="SHA-512" hashValue="yaUpnvGL9pgi6WKMK5RzJH4h96AUPF/SdgZmqXRUcgoCvjFKLnUijdowO/doDqIhBbOEIAPLu1jexJdnbdICFg==" saltValue="32uGVCiLoL0JC1rVyzGWJQ==" spinCount="100000" sheet="1" objects="1" scenarios="1"/>
  <mergeCells count="13">
    <mergeCell ref="O40:P40"/>
    <mergeCell ref="Q40:R40"/>
    <mergeCell ref="O41:P41"/>
    <mergeCell ref="Q41:R41"/>
    <mergeCell ref="B49:G51"/>
    <mergeCell ref="C39:D39"/>
    <mergeCell ref="O39:P39"/>
    <mergeCell ref="Q39:R39"/>
    <mergeCell ref="B2:D2"/>
    <mergeCell ref="C25:D25"/>
    <mergeCell ref="C32:D32"/>
    <mergeCell ref="O38:P38"/>
    <mergeCell ref="Q38:R38"/>
  </mergeCells>
  <dataValidations count="4">
    <dataValidation type="whole" allowBlank="1" showInputMessage="1" showErrorMessage="1" sqref="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C65550 IY65550 SU65550 ACQ65550 AMM65550 AWI65550 BGE65550 BQA65550 BZW65550 CJS65550 CTO65550 DDK65550 DNG65550 DXC65550 EGY65550 EQU65550 FAQ65550 FKM65550 FUI65550 GEE65550 GOA65550 GXW65550 HHS65550 HRO65550 IBK65550 ILG65550 IVC65550 JEY65550 JOU65550 JYQ65550 KIM65550 KSI65550 LCE65550 LMA65550 LVW65550 MFS65550 MPO65550 MZK65550 NJG65550 NTC65550 OCY65550 OMU65550 OWQ65550 PGM65550 PQI65550 QAE65550 QKA65550 QTW65550 RDS65550 RNO65550 RXK65550 SHG65550 SRC65550 TAY65550 TKU65550 TUQ65550 UEM65550 UOI65550 UYE65550 VIA65550 VRW65550 WBS65550 WLO65550 WVK65550 C131086 IY131086 SU131086 ACQ131086 AMM131086 AWI131086 BGE131086 BQA131086 BZW131086 CJS131086 CTO131086 DDK131086 DNG131086 DXC131086 EGY131086 EQU131086 FAQ131086 FKM131086 FUI131086 GEE131086 GOA131086 GXW131086 HHS131086 HRO131086 IBK131086 ILG131086 IVC131086 JEY131086 JOU131086 JYQ131086 KIM131086 KSI131086 LCE131086 LMA131086 LVW131086 MFS131086 MPO131086 MZK131086 NJG131086 NTC131086 OCY131086 OMU131086 OWQ131086 PGM131086 PQI131086 QAE131086 QKA131086 QTW131086 RDS131086 RNO131086 RXK131086 SHG131086 SRC131086 TAY131086 TKU131086 TUQ131086 UEM131086 UOI131086 UYE131086 VIA131086 VRW131086 WBS131086 WLO131086 WVK131086 C196622 IY196622 SU196622 ACQ196622 AMM196622 AWI196622 BGE196622 BQA196622 BZW196622 CJS196622 CTO196622 DDK196622 DNG196622 DXC196622 EGY196622 EQU196622 FAQ196622 FKM196622 FUI196622 GEE196622 GOA196622 GXW196622 HHS196622 HRO196622 IBK196622 ILG196622 IVC196622 JEY196622 JOU196622 JYQ196622 KIM196622 KSI196622 LCE196622 LMA196622 LVW196622 MFS196622 MPO196622 MZK196622 NJG196622 NTC196622 OCY196622 OMU196622 OWQ196622 PGM196622 PQI196622 QAE196622 QKA196622 QTW196622 RDS196622 RNO196622 RXK196622 SHG196622 SRC196622 TAY196622 TKU196622 TUQ196622 UEM196622 UOI196622 UYE196622 VIA196622 VRW196622 WBS196622 WLO196622 WVK196622 C262158 IY262158 SU262158 ACQ262158 AMM262158 AWI262158 BGE262158 BQA262158 BZW262158 CJS262158 CTO262158 DDK262158 DNG262158 DXC262158 EGY262158 EQU262158 FAQ262158 FKM262158 FUI262158 GEE262158 GOA262158 GXW262158 HHS262158 HRO262158 IBK262158 ILG262158 IVC262158 JEY262158 JOU262158 JYQ262158 KIM262158 KSI262158 LCE262158 LMA262158 LVW262158 MFS262158 MPO262158 MZK262158 NJG262158 NTC262158 OCY262158 OMU262158 OWQ262158 PGM262158 PQI262158 QAE262158 QKA262158 QTW262158 RDS262158 RNO262158 RXK262158 SHG262158 SRC262158 TAY262158 TKU262158 TUQ262158 UEM262158 UOI262158 UYE262158 VIA262158 VRW262158 WBS262158 WLO262158 WVK262158 C327694 IY327694 SU327694 ACQ327694 AMM327694 AWI327694 BGE327694 BQA327694 BZW327694 CJS327694 CTO327694 DDK327694 DNG327694 DXC327694 EGY327694 EQU327694 FAQ327694 FKM327694 FUI327694 GEE327694 GOA327694 GXW327694 HHS327694 HRO327694 IBK327694 ILG327694 IVC327694 JEY327694 JOU327694 JYQ327694 KIM327694 KSI327694 LCE327694 LMA327694 LVW327694 MFS327694 MPO327694 MZK327694 NJG327694 NTC327694 OCY327694 OMU327694 OWQ327694 PGM327694 PQI327694 QAE327694 QKA327694 QTW327694 RDS327694 RNO327694 RXK327694 SHG327694 SRC327694 TAY327694 TKU327694 TUQ327694 UEM327694 UOI327694 UYE327694 VIA327694 VRW327694 WBS327694 WLO327694 WVK327694 C393230 IY393230 SU393230 ACQ393230 AMM393230 AWI393230 BGE393230 BQA393230 BZW393230 CJS393230 CTO393230 DDK393230 DNG393230 DXC393230 EGY393230 EQU393230 FAQ393230 FKM393230 FUI393230 GEE393230 GOA393230 GXW393230 HHS393230 HRO393230 IBK393230 ILG393230 IVC393230 JEY393230 JOU393230 JYQ393230 KIM393230 KSI393230 LCE393230 LMA393230 LVW393230 MFS393230 MPO393230 MZK393230 NJG393230 NTC393230 OCY393230 OMU393230 OWQ393230 PGM393230 PQI393230 QAE393230 QKA393230 QTW393230 RDS393230 RNO393230 RXK393230 SHG393230 SRC393230 TAY393230 TKU393230 TUQ393230 UEM393230 UOI393230 UYE393230 VIA393230 VRW393230 WBS393230 WLO393230 WVK393230 C458766 IY458766 SU458766 ACQ458766 AMM458766 AWI458766 BGE458766 BQA458766 BZW458766 CJS458766 CTO458766 DDK458766 DNG458766 DXC458766 EGY458766 EQU458766 FAQ458766 FKM458766 FUI458766 GEE458766 GOA458766 GXW458766 HHS458766 HRO458766 IBK458766 ILG458766 IVC458766 JEY458766 JOU458766 JYQ458766 KIM458766 KSI458766 LCE458766 LMA458766 LVW458766 MFS458766 MPO458766 MZK458766 NJG458766 NTC458766 OCY458766 OMU458766 OWQ458766 PGM458766 PQI458766 QAE458766 QKA458766 QTW458766 RDS458766 RNO458766 RXK458766 SHG458766 SRC458766 TAY458766 TKU458766 TUQ458766 UEM458766 UOI458766 UYE458766 VIA458766 VRW458766 WBS458766 WLO458766 WVK458766 C524302 IY524302 SU524302 ACQ524302 AMM524302 AWI524302 BGE524302 BQA524302 BZW524302 CJS524302 CTO524302 DDK524302 DNG524302 DXC524302 EGY524302 EQU524302 FAQ524302 FKM524302 FUI524302 GEE524302 GOA524302 GXW524302 HHS524302 HRO524302 IBK524302 ILG524302 IVC524302 JEY524302 JOU524302 JYQ524302 KIM524302 KSI524302 LCE524302 LMA524302 LVW524302 MFS524302 MPO524302 MZK524302 NJG524302 NTC524302 OCY524302 OMU524302 OWQ524302 PGM524302 PQI524302 QAE524302 QKA524302 QTW524302 RDS524302 RNO524302 RXK524302 SHG524302 SRC524302 TAY524302 TKU524302 TUQ524302 UEM524302 UOI524302 UYE524302 VIA524302 VRW524302 WBS524302 WLO524302 WVK524302 C589838 IY589838 SU589838 ACQ589838 AMM589838 AWI589838 BGE589838 BQA589838 BZW589838 CJS589838 CTO589838 DDK589838 DNG589838 DXC589838 EGY589838 EQU589838 FAQ589838 FKM589838 FUI589838 GEE589838 GOA589838 GXW589838 HHS589838 HRO589838 IBK589838 ILG589838 IVC589838 JEY589838 JOU589838 JYQ589838 KIM589838 KSI589838 LCE589838 LMA589838 LVW589838 MFS589838 MPO589838 MZK589838 NJG589838 NTC589838 OCY589838 OMU589838 OWQ589838 PGM589838 PQI589838 QAE589838 QKA589838 QTW589838 RDS589838 RNO589838 RXK589838 SHG589838 SRC589838 TAY589838 TKU589838 TUQ589838 UEM589838 UOI589838 UYE589838 VIA589838 VRW589838 WBS589838 WLO589838 WVK589838 C655374 IY655374 SU655374 ACQ655374 AMM655374 AWI655374 BGE655374 BQA655374 BZW655374 CJS655374 CTO655374 DDK655374 DNG655374 DXC655374 EGY655374 EQU655374 FAQ655374 FKM655374 FUI655374 GEE655374 GOA655374 GXW655374 HHS655374 HRO655374 IBK655374 ILG655374 IVC655374 JEY655374 JOU655374 JYQ655374 KIM655374 KSI655374 LCE655374 LMA655374 LVW655374 MFS655374 MPO655374 MZK655374 NJG655374 NTC655374 OCY655374 OMU655374 OWQ655374 PGM655374 PQI655374 QAE655374 QKA655374 QTW655374 RDS655374 RNO655374 RXK655374 SHG655374 SRC655374 TAY655374 TKU655374 TUQ655374 UEM655374 UOI655374 UYE655374 VIA655374 VRW655374 WBS655374 WLO655374 WVK655374 C720910 IY720910 SU720910 ACQ720910 AMM720910 AWI720910 BGE720910 BQA720910 BZW720910 CJS720910 CTO720910 DDK720910 DNG720910 DXC720910 EGY720910 EQU720910 FAQ720910 FKM720910 FUI720910 GEE720910 GOA720910 GXW720910 HHS720910 HRO720910 IBK720910 ILG720910 IVC720910 JEY720910 JOU720910 JYQ720910 KIM720910 KSI720910 LCE720910 LMA720910 LVW720910 MFS720910 MPO720910 MZK720910 NJG720910 NTC720910 OCY720910 OMU720910 OWQ720910 PGM720910 PQI720910 QAE720910 QKA720910 QTW720910 RDS720910 RNO720910 RXK720910 SHG720910 SRC720910 TAY720910 TKU720910 TUQ720910 UEM720910 UOI720910 UYE720910 VIA720910 VRW720910 WBS720910 WLO720910 WVK720910 C786446 IY786446 SU786446 ACQ786446 AMM786446 AWI786446 BGE786446 BQA786446 BZW786446 CJS786446 CTO786446 DDK786446 DNG786446 DXC786446 EGY786446 EQU786446 FAQ786446 FKM786446 FUI786446 GEE786446 GOA786446 GXW786446 HHS786446 HRO786446 IBK786446 ILG786446 IVC786446 JEY786446 JOU786446 JYQ786446 KIM786446 KSI786446 LCE786446 LMA786446 LVW786446 MFS786446 MPO786446 MZK786446 NJG786446 NTC786446 OCY786446 OMU786446 OWQ786446 PGM786446 PQI786446 QAE786446 QKA786446 QTW786446 RDS786446 RNO786446 RXK786446 SHG786446 SRC786446 TAY786446 TKU786446 TUQ786446 UEM786446 UOI786446 UYE786446 VIA786446 VRW786446 WBS786446 WLO786446 WVK786446 C851982 IY851982 SU851982 ACQ851982 AMM851982 AWI851982 BGE851982 BQA851982 BZW851982 CJS851982 CTO851982 DDK851982 DNG851982 DXC851982 EGY851982 EQU851982 FAQ851982 FKM851982 FUI851982 GEE851982 GOA851982 GXW851982 HHS851982 HRO851982 IBK851982 ILG851982 IVC851982 JEY851982 JOU851982 JYQ851982 KIM851982 KSI851982 LCE851982 LMA851982 LVW851982 MFS851982 MPO851982 MZK851982 NJG851982 NTC851982 OCY851982 OMU851982 OWQ851982 PGM851982 PQI851982 QAE851982 QKA851982 QTW851982 RDS851982 RNO851982 RXK851982 SHG851982 SRC851982 TAY851982 TKU851982 TUQ851982 UEM851982 UOI851982 UYE851982 VIA851982 VRW851982 WBS851982 WLO851982 WVK851982 C917518 IY917518 SU917518 ACQ917518 AMM917518 AWI917518 BGE917518 BQA917518 BZW917518 CJS917518 CTO917518 DDK917518 DNG917518 DXC917518 EGY917518 EQU917518 FAQ917518 FKM917518 FUI917518 GEE917518 GOA917518 GXW917518 HHS917518 HRO917518 IBK917518 ILG917518 IVC917518 JEY917518 JOU917518 JYQ917518 KIM917518 KSI917518 LCE917518 LMA917518 LVW917518 MFS917518 MPO917518 MZK917518 NJG917518 NTC917518 OCY917518 OMU917518 OWQ917518 PGM917518 PQI917518 QAE917518 QKA917518 QTW917518 RDS917518 RNO917518 RXK917518 SHG917518 SRC917518 TAY917518 TKU917518 TUQ917518 UEM917518 UOI917518 UYE917518 VIA917518 VRW917518 WBS917518 WLO917518 WVK917518 C983054 IY983054 SU983054 ACQ983054 AMM983054 AWI983054 BGE983054 BQA983054 BZW983054 CJS983054 CTO983054 DDK983054 DNG983054 DXC983054 EGY983054 EQU983054 FAQ983054 FKM983054 FUI983054 GEE983054 GOA983054 GXW983054 HHS983054 HRO983054 IBK983054 ILG983054 IVC983054 JEY983054 JOU983054 JYQ983054 KIM983054 KSI983054 LCE983054 LMA983054 LVW983054 MFS983054 MPO983054 MZK983054 NJG983054 NTC983054 OCY983054 OMU983054 OWQ983054 PGM983054 PQI983054 QAE983054 QKA983054 QTW983054 RDS983054 RNO983054 RXK983054 SHG983054 SRC983054 TAY983054 TKU983054 TUQ983054 UEM983054 UOI983054 UYE983054 VIA983054 VRW983054 WBS983054 WLO983054 WVK983054" xr:uid="{00000000-0002-0000-0100-000000000000}">
      <formula1>E14</formula1>
      <formula2>G14</formula2>
    </dataValidation>
    <dataValidation type="list" allowBlank="1" showInputMessage="1" showErrorMessage="1" sqref="C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C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C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C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C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xr:uid="{00000000-0002-0000-0100-000001000000}">
      <formula1>$R$22:$R$33</formula1>
    </dataValidation>
    <dataValidation type="list" allowBlank="1" showInputMessage="1" showErrorMessage="1" sqref="E17 JA17 SW17 ACS17 AMO17 AWK17 BGG17 BQC17 BZY17 CJU17 CTQ17 DDM17 DNI17 DXE17 EHA17 EQW17 FAS17 FKO17 FUK17 GEG17 GOC17 GXY17 HHU17 HRQ17 IBM17 ILI17 IVE17 JFA17 JOW17 JYS17 KIO17 KSK17 LCG17 LMC17 LVY17 MFU17 MPQ17 MZM17 NJI17 NTE17 ODA17 OMW17 OWS17 PGO17 PQK17 QAG17 QKC17 QTY17 RDU17 RNQ17 RXM17 SHI17 SRE17 TBA17 TKW17 TUS17 UEO17 UOK17 UYG17 VIC17 VRY17 WBU17 WLQ17 WVM17 E65553 JA65553 SW65553 ACS65553 AMO65553 AWK65553 BGG65553 BQC65553 BZY65553 CJU65553 CTQ65553 DDM65553 DNI65553 DXE65553 EHA65553 EQW65553 FAS65553 FKO65553 FUK65553 GEG65553 GOC65553 GXY65553 HHU65553 HRQ65553 IBM65553 ILI65553 IVE65553 JFA65553 JOW65553 JYS65553 KIO65553 KSK65553 LCG65553 LMC65553 LVY65553 MFU65553 MPQ65553 MZM65553 NJI65553 NTE65553 ODA65553 OMW65553 OWS65553 PGO65553 PQK65553 QAG65553 QKC65553 QTY65553 RDU65553 RNQ65553 RXM65553 SHI65553 SRE65553 TBA65553 TKW65553 TUS65553 UEO65553 UOK65553 UYG65553 VIC65553 VRY65553 WBU65553 WLQ65553 WVM65553 E131089 JA131089 SW131089 ACS131089 AMO131089 AWK131089 BGG131089 BQC131089 BZY131089 CJU131089 CTQ131089 DDM131089 DNI131089 DXE131089 EHA131089 EQW131089 FAS131089 FKO131089 FUK131089 GEG131089 GOC131089 GXY131089 HHU131089 HRQ131089 IBM131089 ILI131089 IVE131089 JFA131089 JOW131089 JYS131089 KIO131089 KSK131089 LCG131089 LMC131089 LVY131089 MFU131089 MPQ131089 MZM131089 NJI131089 NTE131089 ODA131089 OMW131089 OWS131089 PGO131089 PQK131089 QAG131089 QKC131089 QTY131089 RDU131089 RNQ131089 RXM131089 SHI131089 SRE131089 TBA131089 TKW131089 TUS131089 UEO131089 UOK131089 UYG131089 VIC131089 VRY131089 WBU131089 WLQ131089 WVM131089 E196625 JA196625 SW196625 ACS196625 AMO196625 AWK196625 BGG196625 BQC196625 BZY196625 CJU196625 CTQ196625 DDM196625 DNI196625 DXE196625 EHA196625 EQW196625 FAS196625 FKO196625 FUK196625 GEG196625 GOC196625 GXY196625 HHU196625 HRQ196625 IBM196625 ILI196625 IVE196625 JFA196625 JOW196625 JYS196625 KIO196625 KSK196625 LCG196625 LMC196625 LVY196625 MFU196625 MPQ196625 MZM196625 NJI196625 NTE196625 ODA196625 OMW196625 OWS196625 PGO196625 PQK196625 QAG196625 QKC196625 QTY196625 RDU196625 RNQ196625 RXM196625 SHI196625 SRE196625 TBA196625 TKW196625 TUS196625 UEO196625 UOK196625 UYG196625 VIC196625 VRY196625 WBU196625 WLQ196625 WVM196625 E262161 JA262161 SW262161 ACS262161 AMO262161 AWK262161 BGG262161 BQC262161 BZY262161 CJU262161 CTQ262161 DDM262161 DNI262161 DXE262161 EHA262161 EQW262161 FAS262161 FKO262161 FUK262161 GEG262161 GOC262161 GXY262161 HHU262161 HRQ262161 IBM262161 ILI262161 IVE262161 JFA262161 JOW262161 JYS262161 KIO262161 KSK262161 LCG262161 LMC262161 LVY262161 MFU262161 MPQ262161 MZM262161 NJI262161 NTE262161 ODA262161 OMW262161 OWS262161 PGO262161 PQK262161 QAG262161 QKC262161 QTY262161 RDU262161 RNQ262161 RXM262161 SHI262161 SRE262161 TBA262161 TKW262161 TUS262161 UEO262161 UOK262161 UYG262161 VIC262161 VRY262161 WBU262161 WLQ262161 WVM262161 E327697 JA327697 SW327697 ACS327697 AMO327697 AWK327697 BGG327697 BQC327697 BZY327697 CJU327697 CTQ327697 DDM327697 DNI327697 DXE327697 EHA327697 EQW327697 FAS327697 FKO327697 FUK327697 GEG327697 GOC327697 GXY327697 HHU327697 HRQ327697 IBM327697 ILI327697 IVE327697 JFA327697 JOW327697 JYS327697 KIO327697 KSK327697 LCG327697 LMC327697 LVY327697 MFU327697 MPQ327697 MZM327697 NJI327697 NTE327697 ODA327697 OMW327697 OWS327697 PGO327697 PQK327697 QAG327697 QKC327697 QTY327697 RDU327697 RNQ327697 RXM327697 SHI327697 SRE327697 TBA327697 TKW327697 TUS327697 UEO327697 UOK327697 UYG327697 VIC327697 VRY327697 WBU327697 WLQ327697 WVM327697 E393233 JA393233 SW393233 ACS393233 AMO393233 AWK393233 BGG393233 BQC393233 BZY393233 CJU393233 CTQ393233 DDM393233 DNI393233 DXE393233 EHA393233 EQW393233 FAS393233 FKO393233 FUK393233 GEG393233 GOC393233 GXY393233 HHU393233 HRQ393233 IBM393233 ILI393233 IVE393233 JFA393233 JOW393233 JYS393233 KIO393233 KSK393233 LCG393233 LMC393233 LVY393233 MFU393233 MPQ393233 MZM393233 NJI393233 NTE393233 ODA393233 OMW393233 OWS393233 PGO393233 PQK393233 QAG393233 QKC393233 QTY393233 RDU393233 RNQ393233 RXM393233 SHI393233 SRE393233 TBA393233 TKW393233 TUS393233 UEO393233 UOK393233 UYG393233 VIC393233 VRY393233 WBU393233 WLQ393233 WVM393233 E458769 JA458769 SW458769 ACS458769 AMO458769 AWK458769 BGG458769 BQC458769 BZY458769 CJU458769 CTQ458769 DDM458769 DNI458769 DXE458769 EHA458769 EQW458769 FAS458769 FKO458769 FUK458769 GEG458769 GOC458769 GXY458769 HHU458769 HRQ458769 IBM458769 ILI458769 IVE458769 JFA458769 JOW458769 JYS458769 KIO458769 KSK458769 LCG458769 LMC458769 LVY458769 MFU458769 MPQ458769 MZM458769 NJI458769 NTE458769 ODA458769 OMW458769 OWS458769 PGO458769 PQK458769 QAG458769 QKC458769 QTY458769 RDU458769 RNQ458769 RXM458769 SHI458769 SRE458769 TBA458769 TKW458769 TUS458769 UEO458769 UOK458769 UYG458769 VIC458769 VRY458769 WBU458769 WLQ458769 WVM458769 E524305 JA524305 SW524305 ACS524305 AMO524305 AWK524305 BGG524305 BQC524305 BZY524305 CJU524305 CTQ524305 DDM524305 DNI524305 DXE524305 EHA524305 EQW524305 FAS524305 FKO524305 FUK524305 GEG524305 GOC524305 GXY524305 HHU524305 HRQ524305 IBM524305 ILI524305 IVE524305 JFA524305 JOW524305 JYS524305 KIO524305 KSK524305 LCG524305 LMC524305 LVY524305 MFU524305 MPQ524305 MZM524305 NJI524305 NTE524305 ODA524305 OMW524305 OWS524305 PGO524305 PQK524305 QAG524305 QKC524305 QTY524305 RDU524305 RNQ524305 RXM524305 SHI524305 SRE524305 TBA524305 TKW524305 TUS524305 UEO524305 UOK524305 UYG524305 VIC524305 VRY524305 WBU524305 WLQ524305 WVM524305 E589841 JA589841 SW589841 ACS589841 AMO589841 AWK589841 BGG589841 BQC589841 BZY589841 CJU589841 CTQ589841 DDM589841 DNI589841 DXE589841 EHA589841 EQW589841 FAS589841 FKO589841 FUK589841 GEG589841 GOC589841 GXY589841 HHU589841 HRQ589841 IBM589841 ILI589841 IVE589841 JFA589841 JOW589841 JYS589841 KIO589841 KSK589841 LCG589841 LMC589841 LVY589841 MFU589841 MPQ589841 MZM589841 NJI589841 NTE589841 ODA589841 OMW589841 OWS589841 PGO589841 PQK589841 QAG589841 QKC589841 QTY589841 RDU589841 RNQ589841 RXM589841 SHI589841 SRE589841 TBA589841 TKW589841 TUS589841 UEO589841 UOK589841 UYG589841 VIC589841 VRY589841 WBU589841 WLQ589841 WVM589841 E655377 JA655377 SW655377 ACS655377 AMO655377 AWK655377 BGG655377 BQC655377 BZY655377 CJU655377 CTQ655377 DDM655377 DNI655377 DXE655377 EHA655377 EQW655377 FAS655377 FKO655377 FUK655377 GEG655377 GOC655377 GXY655377 HHU655377 HRQ655377 IBM655377 ILI655377 IVE655377 JFA655377 JOW655377 JYS655377 KIO655377 KSK655377 LCG655377 LMC655377 LVY655377 MFU655377 MPQ655377 MZM655377 NJI655377 NTE655377 ODA655377 OMW655377 OWS655377 PGO655377 PQK655377 QAG655377 QKC655377 QTY655377 RDU655377 RNQ655377 RXM655377 SHI655377 SRE655377 TBA655377 TKW655377 TUS655377 UEO655377 UOK655377 UYG655377 VIC655377 VRY655377 WBU655377 WLQ655377 WVM655377 E720913 JA720913 SW720913 ACS720913 AMO720913 AWK720913 BGG720913 BQC720913 BZY720913 CJU720913 CTQ720913 DDM720913 DNI720913 DXE720913 EHA720913 EQW720913 FAS720913 FKO720913 FUK720913 GEG720913 GOC720913 GXY720913 HHU720913 HRQ720913 IBM720913 ILI720913 IVE720913 JFA720913 JOW720913 JYS720913 KIO720913 KSK720913 LCG720913 LMC720913 LVY720913 MFU720913 MPQ720913 MZM720913 NJI720913 NTE720913 ODA720913 OMW720913 OWS720913 PGO720913 PQK720913 QAG720913 QKC720913 QTY720913 RDU720913 RNQ720913 RXM720913 SHI720913 SRE720913 TBA720913 TKW720913 TUS720913 UEO720913 UOK720913 UYG720913 VIC720913 VRY720913 WBU720913 WLQ720913 WVM720913 E786449 JA786449 SW786449 ACS786449 AMO786449 AWK786449 BGG786449 BQC786449 BZY786449 CJU786449 CTQ786449 DDM786449 DNI786449 DXE786449 EHA786449 EQW786449 FAS786449 FKO786449 FUK786449 GEG786449 GOC786449 GXY786449 HHU786449 HRQ786449 IBM786449 ILI786449 IVE786449 JFA786449 JOW786449 JYS786449 KIO786449 KSK786449 LCG786449 LMC786449 LVY786449 MFU786449 MPQ786449 MZM786449 NJI786449 NTE786449 ODA786449 OMW786449 OWS786449 PGO786449 PQK786449 QAG786449 QKC786449 QTY786449 RDU786449 RNQ786449 RXM786449 SHI786449 SRE786449 TBA786449 TKW786449 TUS786449 UEO786449 UOK786449 UYG786449 VIC786449 VRY786449 WBU786449 WLQ786449 WVM786449 E851985 JA851985 SW851985 ACS851985 AMO851985 AWK851985 BGG851985 BQC851985 BZY851985 CJU851985 CTQ851985 DDM851985 DNI851985 DXE851985 EHA851985 EQW851985 FAS851985 FKO851985 FUK851985 GEG851985 GOC851985 GXY851985 HHU851985 HRQ851985 IBM851985 ILI851985 IVE851985 JFA851985 JOW851985 JYS851985 KIO851985 KSK851985 LCG851985 LMC851985 LVY851985 MFU851985 MPQ851985 MZM851985 NJI851985 NTE851985 ODA851985 OMW851985 OWS851985 PGO851985 PQK851985 QAG851985 QKC851985 QTY851985 RDU851985 RNQ851985 RXM851985 SHI851985 SRE851985 TBA851985 TKW851985 TUS851985 UEO851985 UOK851985 UYG851985 VIC851985 VRY851985 WBU851985 WLQ851985 WVM851985 E917521 JA917521 SW917521 ACS917521 AMO917521 AWK917521 BGG917521 BQC917521 BZY917521 CJU917521 CTQ917521 DDM917521 DNI917521 DXE917521 EHA917521 EQW917521 FAS917521 FKO917521 FUK917521 GEG917521 GOC917521 GXY917521 HHU917521 HRQ917521 IBM917521 ILI917521 IVE917521 JFA917521 JOW917521 JYS917521 KIO917521 KSK917521 LCG917521 LMC917521 LVY917521 MFU917521 MPQ917521 MZM917521 NJI917521 NTE917521 ODA917521 OMW917521 OWS917521 PGO917521 PQK917521 QAG917521 QKC917521 QTY917521 RDU917521 RNQ917521 RXM917521 SHI917521 SRE917521 TBA917521 TKW917521 TUS917521 UEO917521 UOK917521 UYG917521 VIC917521 VRY917521 WBU917521 WLQ917521 WVM917521 E983057 JA983057 SW983057 ACS983057 AMO983057 AWK983057 BGG983057 BQC983057 BZY983057 CJU983057 CTQ983057 DDM983057 DNI983057 DXE983057 EHA983057 EQW983057 FAS983057 FKO983057 FUK983057 GEG983057 GOC983057 GXY983057 HHU983057 HRQ983057 IBM983057 ILI983057 IVE983057 JFA983057 JOW983057 JYS983057 KIO983057 KSK983057 LCG983057 LMC983057 LVY983057 MFU983057 MPQ983057 MZM983057 NJI983057 NTE983057 ODA983057 OMW983057 OWS983057 PGO983057 PQK983057 QAG983057 QKC983057 QTY983057 RDU983057 RNQ983057 RXM983057 SHI983057 SRE983057 TBA983057 TKW983057 TUS983057 UEO983057 UOK983057 UYG983057 VIC983057 VRY983057 WBU983057 WLQ983057 WVM983057" xr:uid="{00000000-0002-0000-0100-000002000000}">
      <formula1>$P$33:$P$34</formula1>
    </dataValidation>
    <dataValidation type="whole" allowBlank="1" showInputMessage="1" showErrorMessage="1" sqref="C14" xr:uid="{00000000-0002-0000-0100-000003000000}">
      <formula1>E14</formula1>
      <formula2>E15</formula2>
    </dataValidation>
  </dataValidations>
  <pageMargins left="0.7" right="0.7" top="0.75" bottom="0.75" header="0.3" footer="0.3"/>
  <pageSetup paperSize="9" orientation="portrait"/>
  <headerFooter>
    <oddHeader>&amp;C&amp;"Calibri"&amp;10&amp;K000000Public&amp;1#</oddHeader>
  </headerFooter>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2</vt:i4>
      </vt:variant>
    </vt:vector>
  </HeadingPairs>
  <TitlesOfParts>
    <vt:vector size="2" baseType="lpstr">
      <vt:lpstr>Ponuka</vt:lpstr>
      <vt:lpstr>Mimoriadne splátky</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Erino</dc:creator>
  <cp:lastModifiedBy>JARÁBKOVÁ Petrana</cp:lastModifiedBy>
  <cp:lastPrinted>2015-05-11T08:47:56Z</cp:lastPrinted>
  <dcterms:created xsi:type="dcterms:W3CDTF">2015-04-26T20:24:49Z</dcterms:created>
  <dcterms:modified xsi:type="dcterms:W3CDTF">2020-02-19T08:51:06Z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a240272-e508-4aa4-a755-797e799e3de3_Enabled">
    <vt:lpwstr>True</vt:lpwstr>
  </property>
  <property fmtid="{D5CDD505-2E9C-101B-9397-08002B2CF9AE}" pid="3" name="MSIP_Label_5a240272-e508-4aa4-a755-797e799e3de3_SiteId">
    <vt:lpwstr>64af2aee-7d6c-49ac-a409-192d3fee73b8</vt:lpwstr>
  </property>
  <property fmtid="{D5CDD505-2E9C-101B-9397-08002B2CF9AE}" pid="4" name="MSIP_Label_5a240272-e508-4aa4-a755-797e799e3de3_Owner">
    <vt:lpwstr>MZGABUROVA@CSOB.SK</vt:lpwstr>
  </property>
  <property fmtid="{D5CDD505-2E9C-101B-9397-08002B2CF9AE}" pid="5" name="MSIP_Label_5a240272-e508-4aa4-a755-797e799e3de3_SetDate">
    <vt:lpwstr>2019-02-27T09:05:39.9330983Z</vt:lpwstr>
  </property>
  <property fmtid="{D5CDD505-2E9C-101B-9397-08002B2CF9AE}" pid="6" name="MSIP_Label_5a240272-e508-4aa4-a755-797e799e3de3_Name">
    <vt:lpwstr>Public</vt:lpwstr>
  </property>
  <property fmtid="{D5CDD505-2E9C-101B-9397-08002B2CF9AE}" pid="7" name="MSIP_Label_5a240272-e508-4aa4-a755-797e799e3de3_Application">
    <vt:lpwstr>Microsoft Azure Information Protection</vt:lpwstr>
  </property>
  <property fmtid="{D5CDD505-2E9C-101B-9397-08002B2CF9AE}" pid="8" name="MSIP_Label_5a240272-e508-4aa4-a755-797e799e3de3_Extended_MSFT_Method">
    <vt:lpwstr>Manual</vt:lpwstr>
  </property>
  <property fmtid="{D5CDD505-2E9C-101B-9397-08002B2CF9AE}" pid="9" name="MSIP_Label_a5a63cc4-2ec6-44d2-91a5-2f2bdabdec44_Enabled">
    <vt:lpwstr>True</vt:lpwstr>
  </property>
  <property fmtid="{D5CDD505-2E9C-101B-9397-08002B2CF9AE}" pid="10" name="MSIP_Label_a5a63cc4-2ec6-44d2-91a5-2f2bdabdec44_SiteId">
    <vt:lpwstr>64af2aee-7d6c-49ac-a409-192d3fee73b8</vt:lpwstr>
  </property>
  <property fmtid="{D5CDD505-2E9C-101B-9397-08002B2CF9AE}" pid="11" name="MSIP_Label_a5a63cc4-2ec6-44d2-91a5-2f2bdabdec44_Owner">
    <vt:lpwstr>MZGABUROVA@CSOB.SK</vt:lpwstr>
  </property>
  <property fmtid="{D5CDD505-2E9C-101B-9397-08002B2CF9AE}" pid="12" name="MSIP_Label_a5a63cc4-2ec6-44d2-91a5-2f2bdabdec44_SetDate">
    <vt:lpwstr>2019-02-27T09:05:39.9330983Z</vt:lpwstr>
  </property>
  <property fmtid="{D5CDD505-2E9C-101B-9397-08002B2CF9AE}" pid="13" name="MSIP_Label_a5a63cc4-2ec6-44d2-91a5-2f2bdabdec44_Name">
    <vt:lpwstr>Public - Visual Marking</vt:lpwstr>
  </property>
  <property fmtid="{D5CDD505-2E9C-101B-9397-08002B2CF9AE}" pid="14" name="MSIP_Label_a5a63cc4-2ec6-44d2-91a5-2f2bdabdec44_Application">
    <vt:lpwstr>Microsoft Azure Information Protection</vt:lpwstr>
  </property>
  <property fmtid="{D5CDD505-2E9C-101B-9397-08002B2CF9AE}" pid="15" name="MSIP_Label_a5a63cc4-2ec6-44d2-91a5-2f2bdabdec44_Parent">
    <vt:lpwstr>5a240272-e508-4aa4-a755-797e799e3de3</vt:lpwstr>
  </property>
  <property fmtid="{D5CDD505-2E9C-101B-9397-08002B2CF9AE}" pid="16" name="MSIP_Label_a5a63cc4-2ec6-44d2-91a5-2f2bdabdec44_Extended_MSFT_Method">
    <vt:lpwstr>Manual</vt:lpwstr>
  </property>
  <property fmtid="{D5CDD505-2E9C-101B-9397-08002B2CF9AE}" pid="17" name="Sensitivity">
    <vt:lpwstr>Public Public - Visual Marking</vt:lpwstr>
  </property>
</Properties>
</file>