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showInkAnnotation="0"/>
  <mc:AlternateContent xmlns:mc="http://schemas.openxmlformats.org/markup-compatibility/2006">
    <mc:Choice Requires="x15">
      <x15ac:absPath xmlns:x15ac="http://schemas.microsoft.com/office/spreadsheetml/2010/11/ac" url="R:\94108010 - Platforma Bývanie a Mobilita SR\KALKULAČKY\"/>
    </mc:Choice>
  </mc:AlternateContent>
  <xr:revisionPtr revIDLastSave="0" documentId="13_ncr:1_{BB99592B-64EB-4727-9086-AC2E17F80B3E}" xr6:coauthVersionLast="44" xr6:coauthVersionMax="44" xr10:uidLastSave="{00000000-0000-0000-0000-000000000000}"/>
  <bookViews>
    <workbookView xWindow="-120" yWindow="-120" windowWidth="29040" windowHeight="15840" xr2:uid="{00000000-000D-0000-FFFF-FFFF00000000}"/>
  </bookViews>
  <sheets>
    <sheet name="Ponuka" sheetId="1" r:id="rId1"/>
    <sheet name="Mimoriadne splátky" sheetId="4"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0" i="1" l="1"/>
  <c r="C33" i="1" s="1"/>
  <c r="C34" i="1" s="1"/>
  <c r="L10" i="1" l="1"/>
  <c r="Q10" i="1" l="1"/>
  <c r="O10" i="1"/>
  <c r="N12" i="1"/>
  <c r="P12" i="1"/>
  <c r="Q12" i="1" s="1"/>
  <c r="O14" i="1"/>
  <c r="P14" i="1"/>
  <c r="Q14" i="1"/>
  <c r="H16" i="1"/>
  <c r="H17" i="1"/>
  <c r="J29" i="1"/>
  <c r="J30" i="1" s="1"/>
  <c r="M10" i="1" s="1"/>
  <c r="AA30" i="1"/>
  <c r="X31" i="1"/>
  <c r="AA31" i="1"/>
  <c r="V32" i="1"/>
  <c r="X32" i="1" s="1"/>
  <c r="V33" i="1"/>
  <c r="X33" i="1" s="1"/>
  <c r="M39" i="1"/>
  <c r="J45" i="1" s="1"/>
  <c r="M45" i="1" s="1"/>
  <c r="M40" i="1"/>
  <c r="J46" i="1" s="1"/>
  <c r="M46" i="1" s="1"/>
  <c r="M41" i="1"/>
  <c r="M42" i="1"/>
  <c r="J48" i="1" s="1"/>
  <c r="M48" i="1" s="1"/>
  <c r="J47" i="1"/>
  <c r="M47" i="1" s="1"/>
  <c r="N10" i="1" l="1"/>
  <c r="Q13" i="1"/>
  <c r="X34" i="1"/>
  <c r="AA32" i="1" s="1"/>
  <c r="Z37" i="1" s="1"/>
  <c r="M49" i="1"/>
  <c r="P10" i="1" s="1"/>
  <c r="R12" i="1"/>
  <c r="R13" i="1" s="1"/>
  <c r="C9" i="4"/>
  <c r="C11" i="4"/>
  <c r="O13" i="4" s="1"/>
  <c r="C37" i="4"/>
  <c r="O34" i="4"/>
  <c r="C34" i="4"/>
  <c r="O33" i="4"/>
  <c r="R10" i="1" l="1"/>
  <c r="C11" i="1"/>
  <c r="O14" i="4"/>
  <c r="Q14" i="4" s="1"/>
  <c r="O15" i="4" l="1"/>
  <c r="AA35" i="1" l="1"/>
  <c r="Z38" i="1" s="1"/>
  <c r="B43" i="1"/>
  <c r="C10" i="4"/>
  <c r="C12" i="4" s="1"/>
  <c r="R15" i="4"/>
  <c r="Q15" i="4" s="1"/>
  <c r="E15" i="4"/>
  <c r="S40" i="4" l="1"/>
  <c r="O39" i="4"/>
  <c r="C21" i="4"/>
  <c r="O19" i="4"/>
  <c r="Q24" i="4"/>
  <c r="O24" i="4"/>
  <c r="Q39" i="4"/>
  <c r="C35" i="4" s="1"/>
  <c r="O20" i="4"/>
  <c r="C22" i="4" s="1"/>
  <c r="S39" i="4"/>
  <c r="O40" i="4" s="1"/>
  <c r="C28" i="4"/>
  <c r="Q41" i="4" l="1"/>
  <c r="C39" i="4" s="1"/>
  <c r="Q40" i="4"/>
  <c r="C36" i="4" s="1"/>
  <c r="C29" i="4"/>
  <c r="C32" i="4"/>
  <c r="C25" i="4"/>
  <c r="O4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JD26512</author>
  </authors>
  <commentList>
    <comment ref="C8" authorId="0" shapeId="0" xr:uid="{00000000-0006-0000-0100-000001000000}">
      <text>
        <r>
          <rPr>
            <sz val="9"/>
            <color indexed="81"/>
            <rFont val="Tahoma"/>
            <family val="2"/>
            <charset val="238"/>
          </rPr>
          <t>zadajte žlté polia</t>
        </r>
      </text>
    </comment>
    <comment ref="C14" authorId="0" shapeId="0" xr:uid="{00000000-0006-0000-0100-000002000000}">
      <text>
        <r>
          <rPr>
            <sz val="9"/>
            <color indexed="81"/>
            <rFont val="Tahoma"/>
            <family val="2"/>
            <charset val="238"/>
          </rPr>
          <t xml:space="preserve">zadajte sumu mimoriadnej splátky v intervale min. a max. výšky
</t>
        </r>
      </text>
    </comment>
    <comment ref="B16" authorId="0" shapeId="0" xr:uid="{00000000-0006-0000-0100-000003000000}">
      <text>
        <r>
          <rPr>
            <sz val="9"/>
            <color indexed="81"/>
            <rFont val="Tahoma"/>
            <family val="2"/>
            <charset val="238"/>
          </rPr>
          <t xml:space="preserve">Ak zadáte napr. </t>
        </r>
        <r>
          <rPr>
            <b/>
            <sz val="9"/>
            <color indexed="81"/>
            <rFont val="Tahoma"/>
            <family val="2"/>
            <charset val="238"/>
          </rPr>
          <t>3 krát v tomto roku</t>
        </r>
        <r>
          <rPr>
            <sz val="9"/>
            <color indexed="81"/>
            <rFont val="Tahoma"/>
            <family val="2"/>
            <charset val="238"/>
          </rPr>
          <t xml:space="preserve"> = klient v najbližšej dobe zrealizuje 3x mim. splátku v zadanej výške a v ďalších rokoch ju už realizovať nebude.
Ak zadáte napr. </t>
        </r>
        <r>
          <rPr>
            <b/>
            <sz val="9"/>
            <color indexed="81"/>
            <rFont val="Tahoma"/>
            <family val="2"/>
            <charset val="238"/>
          </rPr>
          <t>3 krát v každom roku</t>
        </r>
        <r>
          <rPr>
            <sz val="9"/>
            <color indexed="81"/>
            <rFont val="Tahoma"/>
            <family val="2"/>
            <charset val="238"/>
          </rPr>
          <t xml:space="preserve"> = klient zrealizuje mim. splátku 3x pravidelne každý rok počas splatnosti hypotéky  </t>
        </r>
      </text>
    </comment>
  </commentList>
</comments>
</file>

<file path=xl/sharedStrings.xml><?xml version="1.0" encoding="utf-8"?>
<sst xmlns="http://schemas.openxmlformats.org/spreadsheetml/2006/main" count="250" uniqueCount="176">
  <si>
    <t>Meno</t>
  </si>
  <si>
    <t>Priezvisko</t>
  </si>
  <si>
    <t>AU</t>
  </si>
  <si>
    <t>USU</t>
  </si>
  <si>
    <t>HUM</t>
  </si>
  <si>
    <t>NSU</t>
  </si>
  <si>
    <t>áno</t>
  </si>
  <si>
    <t>nie</t>
  </si>
  <si>
    <t>PN</t>
  </si>
  <si>
    <t>PU</t>
  </si>
  <si>
    <t>A</t>
  </si>
  <si>
    <t>N</t>
  </si>
  <si>
    <t>% p.a.</t>
  </si>
  <si>
    <t>1 rok</t>
  </si>
  <si>
    <t>3 roky</t>
  </si>
  <si>
    <t>5 rokov</t>
  </si>
  <si>
    <t>10 rokov</t>
  </si>
  <si>
    <t>15 rokov</t>
  </si>
  <si>
    <t>20 rokov</t>
  </si>
  <si>
    <t>Kalkulačka na prepočet ponuky hypotéky</t>
  </si>
  <si>
    <t>Údaje o úvere</t>
  </si>
  <si>
    <t>Účel</t>
  </si>
  <si>
    <t>Typ úveru</t>
  </si>
  <si>
    <t>Výška úveru</t>
  </si>
  <si>
    <t>Hodnota nehnuteľnosti</t>
  </si>
  <si>
    <t>Fixácia úrokovej sadzby</t>
  </si>
  <si>
    <t>kúpa nehnuteľnosti</t>
  </si>
  <si>
    <t>kúpa nešpecifikovanej nehnuteľnosti</t>
  </si>
  <si>
    <t>rekonštrukcia nehnuteľnosti</t>
  </si>
  <si>
    <t>rekonštrukcia nešpecifikovanej nehnuteľnosti</t>
  </si>
  <si>
    <t>vysporiadanie majetkových pomerov</t>
  </si>
  <si>
    <t>výstavba nehnuteľnosti</t>
  </si>
  <si>
    <t>výstavba nešpecifikovanej nehnuteľnosti</t>
  </si>
  <si>
    <t>účelová hypotéka</t>
  </si>
  <si>
    <t>hypotéka pre mladých</t>
  </si>
  <si>
    <t>neúčelová (americká) hypotéka</t>
  </si>
  <si>
    <t>Údaje o žiadateľovi</t>
  </si>
  <si>
    <t>Titul</t>
  </si>
  <si>
    <t>Dátum narodenia</t>
  </si>
  <si>
    <t>Mesačné výdavky</t>
  </si>
  <si>
    <t>Počet nezaopatrených detí v domácnosti</t>
  </si>
  <si>
    <t>Počet členov domácnosti</t>
  </si>
  <si>
    <t>Zľavy z úrokovej sadzby</t>
  </si>
  <si>
    <t>Úroková sadzba</t>
  </si>
  <si>
    <t>Mesačná splátka</t>
  </si>
  <si>
    <t>Aktívne používanie bežného účtu v ČSOB</t>
  </si>
  <si>
    <t>Poistenie nehnuteľnosti v ČSOB</t>
  </si>
  <si>
    <t>Poistenie úveru v ČSOB</t>
  </si>
  <si>
    <t>Miesto</t>
  </si>
  <si>
    <t>Spoločnosť</t>
  </si>
  <si>
    <t>Dátum</t>
  </si>
  <si>
    <t>Ponuku vystavil:</t>
  </si>
  <si>
    <t>Akciové zníženie úrokovej sadzby</t>
  </si>
  <si>
    <t>Uvedené prepočty sú informatívne a nemajú záväzný charakter.</t>
  </si>
  <si>
    <t>splatenie skôr poskytnutého úveru</t>
  </si>
  <si>
    <t>Doba splatnosti v mesiacoch</t>
  </si>
  <si>
    <t>mesiace</t>
  </si>
  <si>
    <t>Uvedená úroková sadzba je platná pri najlepšej bonite klienta</t>
  </si>
  <si>
    <t>rok</t>
  </si>
  <si>
    <t>roky</t>
  </si>
  <si>
    <t>rokov</t>
  </si>
  <si>
    <t>mesiac</t>
  </si>
  <si>
    <t>mesiacov</t>
  </si>
  <si>
    <t>Hypotéka s mimoriadnymi splátkami</t>
  </si>
  <si>
    <t>Vďaka mimoriadnym splátkam si môžete skrátiť dobu splatnosti svojej hypotéky a ušetriť stovky eur.</t>
  </si>
  <si>
    <t>Realizujte mimoriadne splátky jednoducho a pohodlne:</t>
  </si>
  <si>
    <t>Úver</t>
  </si>
  <si>
    <t>Doba splatnosti</t>
  </si>
  <si>
    <t>Mimoriadna splátka</t>
  </si>
  <si>
    <t>min.</t>
  </si>
  <si>
    <t>max.</t>
  </si>
  <si>
    <t>Koľkokrát chcete zrealizovať</t>
  </si>
  <si>
    <t>mimoriadnu splátku?</t>
  </si>
  <si>
    <t>krát</t>
  </si>
  <si>
    <t>v každom roku</t>
  </si>
  <si>
    <t>INFORMATÍVNY PREPOČET</t>
  </si>
  <si>
    <t>pri jednorazovej mimoriadnej splátke</t>
  </si>
  <si>
    <t>Usporená suma</t>
  </si>
  <si>
    <t>Nová doba splatnosti</t>
  </si>
  <si>
    <t>Ak uhradíte mimoriadnu splátku jedenkrát,</t>
  </si>
  <si>
    <t>zaplatíte na úrokoch rovnakú sumu,</t>
  </si>
  <si>
    <t>ako pri úvere s úrokovou sadzbou</t>
  </si>
  <si>
    <t>pri pravidelných mimoriadnych splátkach</t>
  </si>
  <si>
    <t>Ak uhradíte mimoriadnu splátku každý mesiac,</t>
  </si>
  <si>
    <t>v tomto roku</t>
  </si>
  <si>
    <t>pri mimoriadnej splátke uhradenej</t>
  </si>
  <si>
    <t>Ak uhradíte mimoriadnu splátku</t>
  </si>
  <si>
    <t>iba tento rok</t>
  </si>
  <si>
    <t>Po úhrade mimoriadnej splátky:</t>
  </si>
  <si>
    <t>K dátumu obnovy úrokovej sadzby máte možnosť:</t>
  </si>
  <si>
    <t>Všetky uvedené prepočty sú informatívne a nemajú záväzný charakter. Podmienky realizovania mimoriadnych splátok prostredníctvom služby ČSOB Smartbanking nájdete v Obchodných podmienkach Československej obchodnej banky, a.s., pre poskytovanie hypotekárnych a ďalších úverov.</t>
  </si>
  <si>
    <r>
      <t xml:space="preserve">■ </t>
    </r>
    <r>
      <rPr>
        <b/>
        <sz val="10.5"/>
        <rFont val="Arial Narrow"/>
        <family val="2"/>
        <charset val="238"/>
      </rPr>
      <t xml:space="preserve">cez smartphone alebo tablet </t>
    </r>
    <r>
      <rPr>
        <sz val="10.5"/>
        <rFont val="Arial Narrow"/>
        <family val="2"/>
        <charset val="238"/>
      </rPr>
      <t>v bezplatnej aplikácii ČSOB SmartBanking,</t>
    </r>
  </si>
  <si>
    <r>
      <t xml:space="preserve">■ jedenkrát mesačne </t>
    </r>
    <r>
      <rPr>
        <b/>
        <sz val="10.5"/>
        <rFont val="Arial Narrow"/>
        <family val="2"/>
        <charset val="238"/>
      </rPr>
      <t>bez poplatkov</t>
    </r>
    <r>
      <rPr>
        <sz val="10.5"/>
        <rFont val="Arial Narrow"/>
        <family val="2"/>
        <charset val="238"/>
      </rPr>
      <t xml:space="preserve"> až do </t>
    </r>
    <r>
      <rPr>
        <b/>
        <sz val="10.5"/>
        <rFont val="Arial Narrow"/>
        <family val="2"/>
        <charset val="238"/>
      </rPr>
      <t>1,5% zo zostávajúcej istiny úveru.</t>
    </r>
  </si>
  <si>
    <r>
      <t xml:space="preserve">■ sa </t>
    </r>
    <r>
      <rPr>
        <b/>
        <sz val="10.5"/>
        <rFont val="Arial Narrow"/>
        <family val="2"/>
        <charset val="238"/>
      </rPr>
      <t>zníži istina úveru</t>
    </r>
    <r>
      <rPr>
        <sz val="10.5"/>
        <rFont val="Arial Narrow"/>
        <family val="2"/>
        <charset val="238"/>
      </rPr>
      <t xml:space="preserve"> o celú sumu mimoriadnej splátky,</t>
    </r>
  </si>
  <si>
    <r>
      <t xml:space="preserve">■ naďalej platíte </t>
    </r>
    <r>
      <rPr>
        <b/>
        <sz val="10.5"/>
        <rFont val="Arial Narrow"/>
        <family val="2"/>
        <charset val="238"/>
      </rPr>
      <t>rovnakú výšku mesačnej splátky</t>
    </r>
    <r>
      <rPr>
        <sz val="10.5"/>
        <rFont val="Arial Narrow"/>
        <family val="2"/>
        <charset val="238"/>
      </rPr>
      <t>.</t>
    </r>
  </si>
  <si>
    <r>
      <t xml:space="preserve">■ </t>
    </r>
    <r>
      <rPr>
        <b/>
        <sz val="10.5"/>
        <rFont val="Arial Narrow"/>
        <family val="2"/>
        <charset val="238"/>
      </rPr>
      <t>znížiť mesačnú splátku</t>
    </r>
    <r>
      <rPr>
        <sz val="10.5"/>
        <rFont val="Arial Narrow"/>
        <family val="2"/>
        <charset val="238"/>
      </rPr>
      <t xml:space="preserve"> pri zachovaní pôvodnej doby splatnosti alebo</t>
    </r>
  </si>
  <si>
    <r>
      <t xml:space="preserve">■ požiadať o </t>
    </r>
    <r>
      <rPr>
        <b/>
        <sz val="10.5"/>
        <rFont val="Arial Narrow"/>
        <family val="2"/>
        <charset val="238"/>
      </rPr>
      <t>skrátenie doby splatnosti</t>
    </r>
    <r>
      <rPr>
        <sz val="10.5"/>
        <rFont val="Arial Narrow"/>
        <family val="2"/>
        <charset val="238"/>
      </rPr>
      <t xml:space="preserve"> so zachovaním pôvodnej mesačnej splátky.</t>
    </r>
  </si>
  <si>
    <t xml:space="preserve">Vážený klient, 
teší nás, že Vás pri riešení vášho investičného zámeru oslovila ponuka úverov ČSOB. </t>
  </si>
  <si>
    <t>plnoleta</t>
  </si>
  <si>
    <t>ď. plnoleta</t>
  </si>
  <si>
    <t>nezaop</t>
  </si>
  <si>
    <t>ŽM spolu</t>
  </si>
  <si>
    <t>P (prijmy)</t>
  </si>
  <si>
    <t>V (vydavky)</t>
  </si>
  <si>
    <t>ŽM (živ.min)</t>
  </si>
  <si>
    <t>k</t>
  </si>
  <si>
    <t>REC</t>
  </si>
  <si>
    <t>sadzba</t>
  </si>
  <si>
    <t>max. splatka</t>
  </si>
  <si>
    <t>max. vyska HU</t>
  </si>
  <si>
    <t>ZIVOTNE</t>
  </si>
  <si>
    <t>MINIMUM</t>
  </si>
  <si>
    <t>pocet</t>
  </si>
  <si>
    <t>vyska</t>
  </si>
  <si>
    <t>spolu</t>
  </si>
  <si>
    <t>Mesačný príjem hlavného žiadateľa</t>
  </si>
  <si>
    <t>Mesačný príjem spolužiadateľa</t>
  </si>
  <si>
    <t>uver</t>
  </si>
  <si>
    <t>OBCHODNA MARZA</t>
  </si>
  <si>
    <t>OM</t>
  </si>
  <si>
    <t>do 50 000</t>
  </si>
  <si>
    <t>nad 50 000</t>
  </si>
  <si>
    <t>ZS</t>
  </si>
  <si>
    <t>RM</t>
  </si>
  <si>
    <t>plna vyska</t>
  </si>
  <si>
    <t>prirazka za produkt</t>
  </si>
  <si>
    <t>zlavy</t>
  </si>
  <si>
    <t>vysledna US</t>
  </si>
  <si>
    <t>aktivny ucet</t>
  </si>
  <si>
    <t>750 az 1200</t>
  </si>
  <si>
    <t>1200 az 2500</t>
  </si>
  <si>
    <t>poistenie uveru</t>
  </si>
  <si>
    <t>nad 2500</t>
  </si>
  <si>
    <t>viac</t>
  </si>
  <si>
    <t>premiovy klient</t>
  </si>
  <si>
    <t>prijem</t>
  </si>
  <si>
    <t>ZAKLADNA SADZBA</t>
  </si>
  <si>
    <t>RIZIKOVA MARZA pri bonite A (podla LTV)</t>
  </si>
  <si>
    <t>LTV real</t>
  </si>
  <si>
    <t>LTV produktove</t>
  </si>
  <si>
    <t>PRIRAZKA ZA PRODUKT</t>
  </si>
  <si>
    <t>ZLAVY Z OBCHODNEJ MARZE</t>
  </si>
  <si>
    <t>poistenie nehnutelnosti</t>
  </si>
  <si>
    <t>AU_A_účelová hypotéka</t>
  </si>
  <si>
    <t>PN_A_účelová hypotéka</t>
  </si>
  <si>
    <t>PU_A_účelová hypotéka</t>
  </si>
  <si>
    <t>AU_N_účelová hypotéka</t>
  </si>
  <si>
    <t>PN_N_účelová hypotéka</t>
  </si>
  <si>
    <t>PU_N_účelová hypotéka</t>
  </si>
  <si>
    <t>AU_A_hypotéka pre mladých</t>
  </si>
  <si>
    <t>PN_A_hypotéka pre mladých</t>
  </si>
  <si>
    <t>PU_A_hypotéka pre mladých</t>
  </si>
  <si>
    <t>AU_N_hypotéka pre mladých</t>
  </si>
  <si>
    <t>PN_N_hypotéka pre mladých</t>
  </si>
  <si>
    <t>PU_N_hypotéka pre mladých</t>
  </si>
  <si>
    <t>HUM Y/N</t>
  </si>
  <si>
    <t>ďalšia zľava</t>
  </si>
  <si>
    <t>prémiový klient_A_účelová hypotéka</t>
  </si>
  <si>
    <t>prémiový klient_A_hypotéka pre mladých</t>
  </si>
  <si>
    <t>prémiový klient</t>
  </si>
  <si>
    <t>prémiový klient_N_účelová hypotéka</t>
  </si>
  <si>
    <t>prémiový klient_N_hypotéka pre mladých</t>
  </si>
  <si>
    <t>AU_A_neúčelová (americká) hypotéka</t>
  </si>
  <si>
    <t>PN_A_neúčelová (americká) hypotéka</t>
  </si>
  <si>
    <t>PU_A_neúčelová (americká) hypotéka</t>
  </si>
  <si>
    <t>prémiový klient_A_neúčelová (americká) hypotéka</t>
  </si>
  <si>
    <t>AU_N_neúčelová (americká) hypotéka</t>
  </si>
  <si>
    <t>PN_N_neúčelová (americká) hypotéka</t>
  </si>
  <si>
    <t>PU_N_neúčelová (americká) hypotéka</t>
  </si>
  <si>
    <t>prémiový klient_N_neúčelová (americká) hypotéka</t>
  </si>
  <si>
    <t xml:space="preserve"> </t>
  </si>
  <si>
    <t>Prémiový klient alebo úver nad 30 000€</t>
  </si>
  <si>
    <t xml:space="preserve">Jožko </t>
  </si>
  <si>
    <t>Mrkvička</t>
  </si>
  <si>
    <t>bbb</t>
  </si>
  <si>
    <t>4 roky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</si>
</sst>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Red]\-#,##0\ &quot;€&quot;"/>
    <numFmt numFmtId="8" formatCode="#,##0.00\ &quot;€&quot;;[Red]\-#,##0.00\ &quot;€&quot;"/>
    <numFmt numFmtId="164" formatCode="_-* #,##0.00\ _€_-;\-* #,##0.00\ _€_-;_-* &quot;-&quot;??\ _€_-;_-@_-"/>
    <numFmt numFmtId="165" formatCode="#,##0\ &quot;€&quot;"/>
    <numFmt numFmtId="166" formatCode="#,##0.00\ &quot;€&quot;"/>
  </numFmts>
  <fonts count="15" x14ac:knownFonts="1">
    <font>
      <sz val="11"/>
      <color theme="1"/>
      <name val="Calibri"/>
      <family val="2"/>
      <charset val="238"/>
      <scheme val="minor"/>
    </font>
    <font>
      <sz val="11"/>
      <color theme="1"/>
      <name val="Calibri"/>
      <family val="2"/>
      <charset val="238"/>
      <scheme val="minor"/>
    </font>
    <font>
      <b/>
      <sz val="12"/>
      <color theme="1"/>
      <name val="Arial Narrow"/>
      <family val="2"/>
      <charset val="238"/>
    </font>
    <font>
      <sz val="10.5"/>
      <color theme="1"/>
      <name val="Arial Narrow"/>
      <family val="2"/>
      <charset val="238"/>
    </font>
    <font>
      <b/>
      <sz val="10.5"/>
      <color theme="1"/>
      <name val="Arial Narrow"/>
      <family val="2"/>
      <charset val="238"/>
    </font>
    <font>
      <b/>
      <sz val="10.5"/>
      <color theme="0"/>
      <name val="Arial Narrow"/>
      <family val="2"/>
      <charset val="238"/>
    </font>
    <font>
      <sz val="10.5"/>
      <color rgb="FFFF0000"/>
      <name val="Arial Narrow"/>
      <family val="2"/>
      <charset val="238"/>
    </font>
    <font>
      <sz val="10"/>
      <name val="Arial"/>
      <family val="2"/>
      <charset val="238"/>
    </font>
    <font>
      <sz val="9"/>
      <color indexed="81"/>
      <name val="Tahoma"/>
      <family val="2"/>
      <charset val="238"/>
    </font>
    <font>
      <b/>
      <sz val="9"/>
      <color indexed="81"/>
      <name val="Tahoma"/>
      <family val="2"/>
      <charset val="238"/>
    </font>
    <font>
      <sz val="10.5"/>
      <name val="Arial Narrow"/>
      <family val="2"/>
      <charset val="238"/>
    </font>
    <font>
      <b/>
      <sz val="10.5"/>
      <name val="Arial Narrow"/>
      <family val="2"/>
      <charset val="238"/>
    </font>
    <font>
      <i/>
      <sz val="10.5"/>
      <color theme="0" tint="-0.499984740745262"/>
      <name val="Arial Narrow"/>
      <family val="2"/>
      <charset val="238"/>
    </font>
    <font>
      <sz val="10.5"/>
      <color theme="0" tint="-0.14999847407452621"/>
      <name val="Arial Narrow"/>
      <family val="2"/>
      <charset val="238"/>
    </font>
    <font>
      <b/>
      <sz val="10.5"/>
      <color rgb="FFFF0000"/>
      <name val="Arial Narrow"/>
      <family val="2"/>
      <charset val="238"/>
    </font>
  </fonts>
  <fills count="1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4"/>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E3E3E3"/>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00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89999084444715716"/>
        <bgColor indexed="64"/>
      </patternFill>
    </fill>
    <fill>
      <patternFill patternType="solid">
        <fgColor theme="6" tint="0.39997558519241921"/>
        <bgColor indexed="64"/>
      </patternFill>
    </fill>
  </fills>
  <borders count="12">
    <border>
      <left/>
      <right/>
      <top/>
      <bottom/>
      <diagonal/>
    </border>
    <border>
      <left/>
      <right/>
      <top style="thick">
        <color theme="0"/>
      </top>
      <bottom style="thick">
        <color theme="0"/>
      </bottom>
      <diagonal/>
    </border>
    <border>
      <left/>
      <right/>
      <top style="thick">
        <color theme="0"/>
      </top>
      <bottom/>
      <diagonal/>
    </border>
    <border>
      <left/>
      <right/>
      <top style="thin">
        <color theme="0"/>
      </top>
      <bottom style="thin">
        <color theme="0"/>
      </bottom>
      <diagonal/>
    </border>
    <border>
      <left/>
      <right/>
      <top/>
      <bottom style="thick">
        <color theme="0"/>
      </bottom>
      <diagonal/>
    </border>
    <border>
      <left style="thick">
        <color theme="0"/>
      </left>
      <right style="thick">
        <color theme="0"/>
      </right>
      <top style="thick">
        <color theme="0"/>
      </top>
      <bottom style="thick">
        <color theme="0"/>
      </bottom>
      <diagonal/>
    </border>
    <border>
      <left style="thick">
        <color theme="0"/>
      </left>
      <right/>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style="thick">
        <color theme="0"/>
      </right>
      <top style="thick">
        <color theme="0"/>
      </top>
      <bottom/>
      <diagonal/>
    </border>
    <border>
      <left/>
      <right style="thick">
        <color theme="0"/>
      </right>
      <top/>
      <bottom style="thick">
        <color theme="0"/>
      </bottom>
      <diagonal/>
    </border>
    <border>
      <left style="thick">
        <color theme="0"/>
      </left>
      <right/>
      <top style="thick">
        <color theme="0"/>
      </top>
      <bottom/>
      <diagonal/>
    </border>
  </borders>
  <cellStyleXfs count="5">
    <xf numFmtId="0" fontId="0" fillId="0" borderId="0"/>
    <xf numFmtId="9" fontId="1" fillId="0" borderId="0" applyFont="0" applyFill="0" applyBorder="0" applyAlignment="0" applyProtection="0"/>
    <xf numFmtId="164" fontId="1" fillId="0" borderId="0" applyFont="0" applyFill="0" applyBorder="0" applyAlignment="0" applyProtection="0"/>
    <xf numFmtId="0" fontId="7" fillId="0" borderId="0"/>
    <xf numFmtId="9" fontId="7" fillId="0" borderId="0" applyFont="0" applyFill="0" applyBorder="0" applyAlignment="0" applyProtection="0"/>
  </cellStyleXfs>
  <cellXfs count="104">
    <xf numFmtId="0" fontId="0" fillId="0" borderId="0" xfId="0"/>
    <xf numFmtId="0" fontId="0" fillId="3" borderId="0" xfId="0" applyFill="1"/>
    <xf numFmtId="0" fontId="3" fillId="0" borderId="0" xfId="0" applyFont="1" applyAlignment="1">
      <alignment vertical="center"/>
    </xf>
    <xf numFmtId="0" fontId="3" fillId="0" borderId="0" xfId="0" applyFont="1" applyAlignment="1">
      <alignment horizontal="left" vertical="center" wrapText="1"/>
    </xf>
    <xf numFmtId="0" fontId="5" fillId="5" borderId="0" xfId="0" applyFont="1" applyFill="1" applyAlignment="1">
      <alignment horizontal="left" vertical="center" wrapText="1"/>
    </xf>
    <xf numFmtId="0" fontId="3" fillId="7" borderId="1" xfId="0" applyFont="1" applyFill="1" applyBorder="1" applyAlignment="1">
      <alignment vertical="center"/>
    </xf>
    <xf numFmtId="0" fontId="5" fillId="5" borderId="0" xfId="0" applyFont="1" applyFill="1" applyAlignment="1">
      <alignment vertical="center"/>
    </xf>
    <xf numFmtId="0" fontId="3" fillId="0" borderId="0" xfId="0" applyFont="1" applyFill="1" applyAlignment="1">
      <alignment vertical="center"/>
    </xf>
    <xf numFmtId="0" fontId="3" fillId="7" borderId="0" xfId="0" applyFont="1" applyFill="1" applyAlignment="1">
      <alignment vertical="center"/>
    </xf>
    <xf numFmtId="0" fontId="4" fillId="0" borderId="0" xfId="0" applyFont="1" applyFill="1" applyAlignment="1">
      <alignment vertical="center"/>
    </xf>
    <xf numFmtId="0" fontId="5" fillId="5" borderId="2" xfId="0" applyFont="1" applyFill="1" applyBorder="1" applyAlignment="1">
      <alignment vertical="center"/>
    </xf>
    <xf numFmtId="0" fontId="3" fillId="7" borderId="2" xfId="0" applyFont="1" applyFill="1" applyBorder="1" applyAlignment="1">
      <alignment vertical="center"/>
    </xf>
    <xf numFmtId="0" fontId="3" fillId="7" borderId="4" xfId="0" applyFont="1" applyFill="1" applyBorder="1" applyAlignment="1">
      <alignment horizontal="right" vertical="center"/>
    </xf>
    <xf numFmtId="14" fontId="3" fillId="0" borderId="0" xfId="0" applyNumberFormat="1" applyFont="1" applyAlignment="1">
      <alignment vertical="center"/>
    </xf>
    <xf numFmtId="0" fontId="6" fillId="0" borderId="0" xfId="0" applyFont="1" applyFill="1" applyAlignment="1">
      <alignment vertical="center"/>
    </xf>
    <xf numFmtId="0" fontId="3" fillId="6" borderId="1" xfId="0" applyFont="1" applyFill="1" applyBorder="1" applyAlignment="1" applyProtection="1">
      <alignment horizontal="right" vertical="center"/>
      <protection locked="0"/>
    </xf>
    <xf numFmtId="165" fontId="3" fillId="6" borderId="1" xfId="2" applyNumberFormat="1" applyFont="1" applyFill="1" applyBorder="1" applyAlignment="1" applyProtection="1">
      <alignment horizontal="right" vertical="center"/>
      <protection locked="0"/>
    </xf>
    <xf numFmtId="0" fontId="3" fillId="6" borderId="2" xfId="0" applyFont="1" applyFill="1" applyBorder="1" applyAlignment="1" applyProtection="1">
      <alignment horizontal="right" vertical="center"/>
      <protection locked="0"/>
    </xf>
    <xf numFmtId="14" fontId="3" fillId="6" borderId="1" xfId="0" applyNumberFormat="1" applyFont="1" applyFill="1" applyBorder="1" applyAlignment="1" applyProtection="1">
      <alignment horizontal="right" vertical="center"/>
      <protection locked="0"/>
    </xf>
    <xf numFmtId="165" fontId="3" fillId="6" borderId="1" xfId="0" applyNumberFormat="1" applyFont="1" applyFill="1" applyBorder="1" applyAlignment="1" applyProtection="1">
      <alignment horizontal="right" vertical="center"/>
      <protection locked="0"/>
    </xf>
    <xf numFmtId="0" fontId="3" fillId="6" borderId="0" xfId="0" applyFont="1" applyFill="1" applyAlignment="1" applyProtection="1">
      <alignment vertical="center"/>
      <protection locked="0"/>
    </xf>
    <xf numFmtId="0" fontId="3" fillId="6" borderId="1" xfId="0" applyFont="1" applyFill="1" applyBorder="1" applyAlignment="1" applyProtection="1">
      <alignment vertical="center"/>
      <protection locked="0"/>
    </xf>
    <xf numFmtId="0" fontId="10" fillId="0" borderId="0" xfId="3" applyFont="1" applyAlignment="1">
      <alignment vertical="center"/>
    </xf>
    <xf numFmtId="0" fontId="4" fillId="0" borderId="0" xfId="3" applyFont="1" applyAlignment="1">
      <alignment vertical="center" wrapText="1"/>
    </xf>
    <xf numFmtId="0" fontId="10" fillId="0" borderId="0" xfId="3" applyFont="1" applyFill="1" applyAlignment="1">
      <alignment vertical="center"/>
    </xf>
    <xf numFmtId="8" fontId="6" fillId="0" borderId="0" xfId="3" applyNumberFormat="1" applyFont="1" applyAlignment="1" applyProtection="1">
      <alignment vertical="center"/>
      <protection hidden="1"/>
    </xf>
    <xf numFmtId="0" fontId="3" fillId="0" borderId="0" xfId="3" applyFont="1" applyAlignment="1">
      <alignment horizontal="right" vertical="center"/>
    </xf>
    <xf numFmtId="166" fontId="10" fillId="0" borderId="0" xfId="3" applyNumberFormat="1" applyFont="1" applyFill="1" applyBorder="1" applyAlignment="1" applyProtection="1">
      <alignment vertical="center"/>
      <protection locked="0" hidden="1"/>
    </xf>
    <xf numFmtId="0" fontId="10" fillId="0" borderId="5" xfId="3" applyFont="1" applyBorder="1" applyAlignment="1">
      <alignment vertical="center"/>
    </xf>
    <xf numFmtId="166" fontId="10" fillId="0" borderId="0" xfId="3" applyNumberFormat="1" applyFont="1" applyAlignment="1">
      <alignment vertical="center"/>
    </xf>
    <xf numFmtId="0" fontId="10" fillId="10" borderId="0" xfId="3" applyFont="1" applyFill="1" applyBorder="1" applyAlignment="1">
      <alignment vertical="center"/>
    </xf>
    <xf numFmtId="0" fontId="10" fillId="10" borderId="9" xfId="3" applyFont="1" applyFill="1" applyBorder="1" applyAlignment="1">
      <alignment vertical="center"/>
    </xf>
    <xf numFmtId="0" fontId="10" fillId="10" borderId="10" xfId="3" applyFont="1" applyFill="1" applyBorder="1" applyAlignment="1">
      <alignment vertical="center"/>
    </xf>
    <xf numFmtId="6" fontId="6" fillId="0" borderId="5" xfId="3" applyNumberFormat="1" applyFont="1" applyFill="1" applyBorder="1" applyAlignment="1" applyProtection="1">
      <alignment vertical="center"/>
      <protection locked="0" hidden="1"/>
    </xf>
    <xf numFmtId="0" fontId="10" fillId="0" borderId="0" xfId="3" applyFont="1" applyFill="1" applyAlignment="1" applyProtection="1">
      <alignment vertical="center"/>
      <protection hidden="1"/>
    </xf>
    <xf numFmtId="0" fontId="10" fillId="10" borderId="0" xfId="3" applyFont="1" applyFill="1" applyAlignment="1" applyProtection="1">
      <alignment vertical="center"/>
      <protection hidden="1"/>
    </xf>
    <xf numFmtId="0" fontId="10" fillId="10" borderId="0" xfId="3" applyFont="1" applyFill="1" applyBorder="1" applyAlignment="1" applyProtection="1">
      <alignment vertical="center"/>
      <protection hidden="1"/>
    </xf>
    <xf numFmtId="0" fontId="6" fillId="0" borderId="0" xfId="3" applyFont="1" applyFill="1" applyAlignment="1" applyProtection="1">
      <alignment vertical="center"/>
      <protection hidden="1"/>
    </xf>
    <xf numFmtId="8" fontId="13" fillId="0" borderId="0" xfId="3" applyNumberFormat="1" applyFont="1" applyAlignment="1" applyProtection="1">
      <alignment vertical="center"/>
      <protection hidden="1"/>
    </xf>
    <xf numFmtId="0" fontId="3" fillId="0" borderId="0" xfId="3" applyFont="1" applyFill="1" applyBorder="1" applyAlignment="1" applyProtection="1">
      <alignment vertical="center" wrapText="1"/>
      <protection hidden="1"/>
    </xf>
    <xf numFmtId="0" fontId="10" fillId="11" borderId="5" xfId="3" applyFont="1" applyFill="1" applyBorder="1" applyAlignment="1" applyProtection="1">
      <alignment vertical="center"/>
      <protection locked="0" hidden="1"/>
    </xf>
    <xf numFmtId="165" fontId="10" fillId="11" borderId="8" xfId="3" applyNumberFormat="1" applyFont="1" applyFill="1" applyBorder="1" applyAlignment="1" applyProtection="1">
      <alignment vertical="center"/>
      <protection locked="0" hidden="1"/>
    </xf>
    <xf numFmtId="10" fontId="10" fillId="11" borderId="8" xfId="3" applyNumberFormat="1" applyFont="1" applyFill="1" applyBorder="1" applyAlignment="1" applyProtection="1">
      <alignment vertical="center"/>
      <protection locked="0" hidden="1"/>
    </xf>
    <xf numFmtId="0" fontId="10" fillId="11" borderId="8" xfId="3" applyFont="1" applyFill="1" applyBorder="1" applyAlignment="1" applyProtection="1">
      <alignment vertical="center"/>
      <protection locked="0" hidden="1"/>
    </xf>
    <xf numFmtId="0" fontId="10" fillId="7" borderId="7" xfId="3" applyFont="1" applyFill="1" applyBorder="1" applyAlignment="1">
      <alignment horizontal="left" vertical="center"/>
    </xf>
    <xf numFmtId="0" fontId="10" fillId="0" borderId="0" xfId="3" applyFont="1" applyBorder="1" applyAlignment="1">
      <alignment horizontal="left" vertical="center"/>
    </xf>
    <xf numFmtId="0" fontId="10" fillId="0" borderId="0" xfId="3" applyFont="1" applyBorder="1" applyAlignment="1">
      <alignment vertical="center"/>
    </xf>
    <xf numFmtId="0" fontId="4" fillId="0" borderId="0" xfId="3" applyFont="1" applyBorder="1" applyAlignment="1">
      <alignment vertical="center"/>
    </xf>
    <xf numFmtId="166" fontId="10" fillId="7" borderId="1" xfId="3" applyNumberFormat="1" applyFont="1" applyFill="1" applyBorder="1" applyAlignment="1" applyProtection="1">
      <alignment horizontal="left" vertical="center"/>
      <protection hidden="1"/>
    </xf>
    <xf numFmtId="0" fontId="10" fillId="7" borderId="8" xfId="3" applyFont="1" applyFill="1" applyBorder="1" applyAlignment="1">
      <alignment vertical="center"/>
    </xf>
    <xf numFmtId="0" fontId="10" fillId="7" borderId="1" xfId="3" applyFont="1" applyFill="1" applyBorder="1" applyAlignment="1" applyProtection="1">
      <alignment horizontal="left" vertical="center"/>
      <protection hidden="1"/>
    </xf>
    <xf numFmtId="166" fontId="10" fillId="7" borderId="8" xfId="3" applyNumberFormat="1" applyFont="1" applyFill="1" applyBorder="1" applyAlignment="1" applyProtection="1">
      <alignment horizontal="center" vertical="center"/>
      <protection hidden="1"/>
    </xf>
    <xf numFmtId="0" fontId="10" fillId="7" borderId="8" xfId="3" applyFont="1" applyFill="1" applyBorder="1" applyAlignment="1" applyProtection="1">
      <alignment horizontal="center" vertical="center"/>
      <protection hidden="1"/>
    </xf>
    <xf numFmtId="0" fontId="5" fillId="4" borderId="7" xfId="3" applyFont="1" applyFill="1" applyBorder="1" applyAlignment="1">
      <alignment horizontal="left" vertical="center"/>
    </xf>
    <xf numFmtId="0" fontId="5" fillId="4" borderId="11" xfId="3" applyFont="1" applyFill="1" applyBorder="1" applyAlignment="1">
      <alignment horizontal="left" vertical="center"/>
    </xf>
    <xf numFmtId="0" fontId="5" fillId="4" borderId="6" xfId="3" applyFont="1" applyFill="1" applyBorder="1" applyAlignment="1">
      <alignment horizontal="left" vertical="center"/>
    </xf>
    <xf numFmtId="0" fontId="5" fillId="4" borderId="7" xfId="3" applyFont="1" applyFill="1" applyBorder="1" applyAlignment="1">
      <alignment vertical="center"/>
    </xf>
    <xf numFmtId="6" fontId="10" fillId="11" borderId="8" xfId="3" applyNumberFormat="1" applyFont="1" applyFill="1" applyBorder="1" applyAlignment="1" applyProtection="1">
      <alignment vertical="center"/>
      <protection locked="0" hidden="1"/>
    </xf>
    <xf numFmtId="1" fontId="10" fillId="11" borderId="8" xfId="3" applyNumberFormat="1" applyFont="1" applyFill="1" applyBorder="1" applyAlignment="1" applyProtection="1">
      <alignment vertical="center"/>
      <protection locked="0" hidden="1"/>
    </xf>
    <xf numFmtId="165" fontId="10" fillId="9" borderId="5" xfId="3" applyNumberFormat="1" applyFont="1" applyFill="1" applyBorder="1" applyAlignment="1" applyProtection="1">
      <alignment horizontal="left" vertical="center"/>
      <protection hidden="1"/>
    </xf>
    <xf numFmtId="166" fontId="10" fillId="6" borderId="8" xfId="3" applyNumberFormat="1" applyFont="1" applyFill="1" applyBorder="1" applyAlignment="1" applyProtection="1">
      <alignment vertical="center"/>
      <protection hidden="1"/>
    </xf>
    <xf numFmtId="0" fontId="3" fillId="0" borderId="4" xfId="0" applyFont="1" applyFill="1" applyBorder="1" applyAlignment="1" applyProtection="1">
      <alignment horizontal="right" vertical="center"/>
      <protection hidden="1"/>
    </xf>
    <xf numFmtId="8" fontId="4" fillId="8" borderId="2" xfId="0" applyNumberFormat="1" applyFont="1" applyFill="1" applyBorder="1" applyAlignment="1" applyProtection="1">
      <alignment vertical="center"/>
      <protection hidden="1"/>
    </xf>
    <xf numFmtId="165" fontId="3" fillId="0" borderId="0" xfId="0" applyNumberFormat="1" applyFont="1" applyAlignment="1">
      <alignment vertical="center"/>
    </xf>
    <xf numFmtId="9" fontId="3" fillId="0" borderId="0" xfId="0" applyNumberFormat="1" applyFont="1" applyAlignment="1">
      <alignment vertical="center"/>
    </xf>
    <xf numFmtId="10" fontId="3" fillId="0" borderId="0" xfId="1" applyNumberFormat="1" applyFont="1" applyAlignment="1">
      <alignment vertical="center"/>
    </xf>
    <xf numFmtId="0" fontId="3" fillId="0" borderId="0" xfId="0" applyFont="1" applyAlignment="1">
      <alignment horizontal="right" vertical="center"/>
    </xf>
    <xf numFmtId="0" fontId="0" fillId="12" borderId="0" xfId="0" applyFill="1"/>
    <xf numFmtId="0" fontId="2" fillId="0" borderId="0" xfId="0" applyFont="1" applyAlignment="1">
      <alignment horizontal="left" vertical="center"/>
    </xf>
    <xf numFmtId="0" fontId="3" fillId="0" borderId="0" xfId="0" applyFont="1" applyAlignment="1">
      <alignment horizontal="left" vertical="center" wrapText="1"/>
    </xf>
    <xf numFmtId="3" fontId="0" fillId="0" borderId="0" xfId="0" applyNumberFormat="1"/>
    <xf numFmtId="0" fontId="0" fillId="13" borderId="0" xfId="0" applyFill="1"/>
    <xf numFmtId="0" fontId="0" fillId="14" borderId="0" xfId="0" applyFill="1"/>
    <xf numFmtId="0" fontId="0" fillId="0" borderId="0" xfId="0" applyFill="1" applyBorder="1"/>
    <xf numFmtId="2" fontId="0" fillId="0" borderId="0" xfId="0" applyNumberFormat="1" applyFill="1" applyBorder="1"/>
    <xf numFmtId="9" fontId="0" fillId="0" borderId="0" xfId="0" applyNumberFormat="1"/>
    <xf numFmtId="10" fontId="0" fillId="0" borderId="0" xfId="0" applyNumberFormat="1"/>
    <xf numFmtId="0" fontId="3" fillId="15" borderId="0" xfId="0" applyFont="1" applyFill="1" applyAlignment="1">
      <alignment vertical="center"/>
    </xf>
    <xf numFmtId="9" fontId="3" fillId="0" borderId="0" xfId="1" applyNumberFormat="1" applyFont="1" applyFill="1" applyAlignment="1">
      <alignment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3" fillId="16" borderId="0" xfId="0" applyFont="1" applyFill="1" applyAlignment="1">
      <alignment vertical="center"/>
    </xf>
    <xf numFmtId="0" fontId="0" fillId="0" borderId="0" xfId="0" applyFill="1" applyAlignment="1">
      <alignment horizontal="center"/>
    </xf>
    <xf numFmtId="0" fontId="14" fillId="0" borderId="0" xfId="0" applyFont="1" applyAlignment="1" applyProtection="1">
      <alignment vertical="center"/>
      <protection hidden="1"/>
    </xf>
    <xf numFmtId="2" fontId="0" fillId="0" borderId="0" xfId="1" applyNumberFormat="1" applyFont="1"/>
    <xf numFmtId="2" fontId="0" fillId="0" borderId="0" xfId="1" applyNumberFormat="1" applyFont="1" applyFill="1" applyBorder="1"/>
    <xf numFmtId="2" fontId="4" fillId="8" borderId="0" xfId="1" applyNumberFormat="1" applyFont="1" applyFill="1" applyAlignment="1" applyProtection="1">
      <alignment vertical="center"/>
      <protection hidden="1"/>
    </xf>
    <xf numFmtId="0" fontId="2" fillId="0" borderId="0" xfId="0" applyFont="1" applyAlignment="1">
      <alignment horizontal="left" vertical="center"/>
    </xf>
    <xf numFmtId="0" fontId="3" fillId="0" borderId="0" xfId="0" applyFont="1" applyAlignment="1">
      <alignment horizontal="left" vertical="center" wrapText="1"/>
    </xf>
    <xf numFmtId="0" fontId="0" fillId="2" borderId="0" xfId="0" applyFill="1" applyAlignment="1">
      <alignment horizontal="center"/>
    </xf>
    <xf numFmtId="10" fontId="10" fillId="7" borderId="2" xfId="3" applyNumberFormat="1" applyFont="1" applyFill="1" applyBorder="1" applyAlignment="1" applyProtection="1">
      <alignment horizontal="left" vertical="center"/>
      <protection hidden="1"/>
    </xf>
    <xf numFmtId="10" fontId="10" fillId="7" borderId="9" xfId="3" applyNumberFormat="1" applyFont="1" applyFill="1" applyBorder="1" applyAlignment="1" applyProtection="1">
      <alignment horizontal="left" vertical="center"/>
      <protection hidden="1"/>
    </xf>
    <xf numFmtId="166" fontId="10" fillId="0" borderId="7" xfId="3" applyNumberFormat="1" applyFont="1" applyFill="1" applyBorder="1" applyAlignment="1" applyProtection="1">
      <alignment horizontal="center" vertical="center"/>
      <protection hidden="1"/>
    </xf>
    <xf numFmtId="166" fontId="10" fillId="0" borderId="8" xfId="3" applyNumberFormat="1" applyFont="1" applyFill="1" applyBorder="1" applyAlignment="1" applyProtection="1">
      <alignment horizontal="center" vertical="center"/>
      <protection hidden="1"/>
    </xf>
    <xf numFmtId="0" fontId="2" fillId="0" borderId="0" xfId="3" applyFont="1" applyAlignment="1">
      <alignment horizontal="left" vertical="center" wrapText="1"/>
    </xf>
    <xf numFmtId="10" fontId="10" fillId="7" borderId="2" xfId="4" applyNumberFormat="1" applyFont="1" applyFill="1" applyBorder="1" applyAlignment="1" applyProtection="1">
      <alignment horizontal="left" vertical="center"/>
      <protection hidden="1"/>
    </xf>
    <xf numFmtId="10" fontId="10" fillId="7" borderId="9" xfId="4" applyNumberFormat="1" applyFont="1" applyFill="1" applyBorder="1" applyAlignment="1" applyProtection="1">
      <alignment horizontal="left" vertical="center"/>
      <protection hidden="1"/>
    </xf>
    <xf numFmtId="165" fontId="12" fillId="0" borderId="4" xfId="3" applyNumberFormat="1" applyFont="1" applyFill="1" applyBorder="1" applyAlignment="1" applyProtection="1">
      <alignment horizontal="center" vertical="center"/>
      <protection hidden="1"/>
    </xf>
    <xf numFmtId="165" fontId="12" fillId="0" borderId="0" xfId="3" applyNumberFormat="1" applyFont="1" applyFill="1" applyAlignment="1" applyProtection="1">
      <alignment horizontal="center" vertical="center"/>
      <protection hidden="1"/>
    </xf>
    <xf numFmtId="0" fontId="10" fillId="0" borderId="7" xfId="3" applyFont="1" applyFill="1" applyBorder="1" applyAlignment="1" applyProtection="1">
      <alignment horizontal="center" vertical="center"/>
      <protection hidden="1"/>
    </xf>
    <xf numFmtId="0" fontId="10" fillId="0" borderId="8" xfId="3" applyFont="1" applyFill="1" applyBorder="1" applyAlignment="1" applyProtection="1">
      <alignment horizontal="center" vertical="center"/>
      <protection hidden="1"/>
    </xf>
    <xf numFmtId="10" fontId="10" fillId="0" borderId="7" xfId="4" applyNumberFormat="1" applyFont="1" applyFill="1" applyBorder="1" applyAlignment="1" applyProtection="1">
      <alignment horizontal="center" vertical="center"/>
      <protection hidden="1"/>
    </xf>
    <xf numFmtId="10" fontId="10" fillId="0" borderId="8" xfId="4" applyNumberFormat="1" applyFont="1" applyFill="1" applyBorder="1" applyAlignment="1" applyProtection="1">
      <alignment horizontal="center" vertical="center"/>
      <protection hidden="1"/>
    </xf>
    <xf numFmtId="0" fontId="3" fillId="0" borderId="0" xfId="3" applyFont="1" applyFill="1" applyBorder="1" applyAlignment="1" applyProtection="1">
      <alignment horizontal="left" vertical="center" wrapText="1"/>
      <protection hidden="1"/>
    </xf>
  </cellXfs>
  <cellStyles count="5">
    <cellStyle name="Čiarka" xfId="2" builtinId="3"/>
    <cellStyle name="Normálna" xfId="0" builtinId="0"/>
    <cellStyle name="normálne 2" xfId="3" xr:uid="{00000000-0005-0000-0000-000002000000}"/>
    <cellStyle name="Percentá" xfId="1" builtinId="5"/>
    <cellStyle name="percentá 2" xfId="4" xr:uid="{00000000-0005-0000-0000-000004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2247900</xdr:colOff>
      <xdr:row>0</xdr:row>
      <xdr:rowOff>9525</xdr:rowOff>
    </xdr:from>
    <xdr:to>
      <xdr:col>3</xdr:col>
      <xdr:colOff>592455</xdr:colOff>
      <xdr:row>3</xdr:row>
      <xdr:rowOff>38100</xdr:rowOff>
    </xdr:to>
    <xdr:pic>
      <xdr:nvPicPr>
        <xdr:cNvPr id="2" name="Obrázok 2" descr="CSOB logo.bmp">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4514850" y="9525"/>
          <a:ext cx="714375" cy="6858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504825</xdr:colOff>
      <xdr:row>0</xdr:row>
      <xdr:rowOff>9525</xdr:rowOff>
    </xdr:from>
    <xdr:to>
      <xdr:col>7</xdr:col>
      <xdr:colOff>0</xdr:colOff>
      <xdr:row>3</xdr:row>
      <xdr:rowOff>123825</xdr:rowOff>
    </xdr:to>
    <xdr:pic>
      <xdr:nvPicPr>
        <xdr:cNvPr id="2" name="Obrázok 2" descr="CSOB logo.bmp">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4886325" y="9525"/>
          <a:ext cx="714375" cy="685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Office">
  <a:themeElements>
    <a:clrScheme name="ČSOB corporate">
      <a:dk1>
        <a:sysClr val="windowText" lastClr="000000"/>
      </a:dk1>
      <a:lt1>
        <a:sysClr val="window" lastClr="FFFFFF"/>
      </a:lt1>
      <a:dk2>
        <a:srgbClr val="1F497D"/>
      </a:dk2>
      <a:lt2>
        <a:srgbClr val="EEECE1"/>
      </a:lt2>
      <a:accent1>
        <a:srgbClr val="009FE3"/>
      </a:accent1>
      <a:accent2>
        <a:srgbClr val="003865"/>
      </a:accent2>
      <a:accent3>
        <a:srgbClr val="76BA29"/>
      </a:accent3>
      <a:accent4>
        <a:srgbClr val="E3E3E3"/>
      </a:accent4>
      <a:accent5>
        <a:srgbClr val="9D9D9C"/>
      </a:accent5>
      <a:accent6>
        <a:srgbClr val="57575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C68"/>
  <sheetViews>
    <sheetView showGridLines="0" tabSelected="1" zoomScale="120" zoomScaleNormal="120" workbookViewId="0"/>
  </sheetViews>
  <sheetFormatPr defaultColWidth="9.109375" defaultRowHeight="14.4" x14ac:dyDescent="0.3"/>
  <cols>
    <col min="1" max="1" width="4" style="2" customWidth="1"/>
    <col min="2" max="2" width="30" style="2" customWidth="1"/>
    <col min="3" max="3" width="35.44140625" style="2" customWidth="1"/>
    <col min="4" max="4" width="9.5546875" style="2" customWidth="1"/>
    <col min="5" max="5" width="9.109375" style="2" hidden="1" customWidth="1"/>
    <col min="6" max="6" width="38.5546875" hidden="1" customWidth="1"/>
    <col min="7" max="7" width="13.5546875" hidden="1" customWidth="1"/>
    <col min="8" max="8" width="10.109375" hidden="1" customWidth="1"/>
    <col min="9" max="9" width="39" hidden="1" customWidth="1"/>
    <col min="10" max="10" width="14.109375" hidden="1" customWidth="1"/>
    <col min="11" max="11" width="9.109375" hidden="1" customWidth="1"/>
    <col min="12" max="12" width="32.44140625" hidden="1" customWidth="1"/>
    <col min="13" max="13" width="15.6640625" hidden="1" customWidth="1"/>
    <col min="14" max="14" width="9.5546875" hidden="1" customWidth="1"/>
    <col min="15" max="15" width="18" hidden="1" customWidth="1"/>
    <col min="16" max="16" width="10.33203125" hidden="1" customWidth="1"/>
    <col min="17" max="18" width="9.109375" hidden="1" customWidth="1"/>
    <col min="19" max="19" width="29.6640625" style="2" hidden="1" customWidth="1"/>
    <col min="20" max="24" width="9.109375" style="2" hidden="1" customWidth="1"/>
    <col min="25" max="25" width="14.109375" style="2" hidden="1" customWidth="1"/>
    <col min="26" max="28" width="9.109375" style="2" hidden="1" customWidth="1"/>
    <col min="29" max="33" width="9.109375" style="2" customWidth="1"/>
    <col min="34" max="16384" width="9.109375" style="2"/>
  </cols>
  <sheetData>
    <row r="2" spans="2:27" ht="15.6" x14ac:dyDescent="0.3">
      <c r="B2" s="87" t="s">
        <v>19</v>
      </c>
      <c r="C2" s="87"/>
      <c r="D2" s="87"/>
      <c r="E2" s="68"/>
    </row>
    <row r="3" spans="2:27" ht="21" customHeight="1" x14ac:dyDescent="0.3"/>
    <row r="4" spans="2:27" ht="38.25" customHeight="1" x14ac:dyDescent="0.3">
      <c r="B4" s="88" t="s">
        <v>97</v>
      </c>
      <c r="C4" s="88"/>
      <c r="D4" s="88"/>
      <c r="E4" s="69"/>
      <c r="T4" s="2" t="s">
        <v>170</v>
      </c>
    </row>
    <row r="5" spans="2:27" ht="12.75" customHeight="1" x14ac:dyDescent="0.3">
      <c r="B5" s="3"/>
      <c r="C5" s="3"/>
      <c r="D5" s="3"/>
      <c r="E5" s="69"/>
    </row>
    <row r="6" spans="2:27" ht="15" customHeight="1" thickBot="1" x14ac:dyDescent="0.35">
      <c r="B6" s="4" t="s">
        <v>20</v>
      </c>
      <c r="C6" s="4"/>
      <c r="D6" s="3"/>
      <c r="E6" s="69"/>
      <c r="F6" t="s">
        <v>174</v>
      </c>
    </row>
    <row r="7" spans="2:27" ht="15" customHeight="1" thickTop="1" thickBot="1" x14ac:dyDescent="0.35">
      <c r="B7" s="5" t="s">
        <v>22</v>
      </c>
      <c r="C7" s="15" t="s">
        <v>33</v>
      </c>
    </row>
    <row r="8" spans="2:27" ht="15" customHeight="1" thickTop="1" thickBot="1" x14ac:dyDescent="0.35">
      <c r="B8" s="5" t="s">
        <v>21</v>
      </c>
      <c r="C8" s="15" t="s">
        <v>54</v>
      </c>
      <c r="F8" s="67" t="s">
        <v>118</v>
      </c>
      <c r="G8" s="67"/>
      <c r="H8" s="67"/>
      <c r="I8" s="67"/>
      <c r="N8" s="89" t="s">
        <v>119</v>
      </c>
      <c r="O8" s="89"/>
      <c r="P8" s="89"/>
      <c r="Q8" s="82"/>
      <c r="S8"/>
      <c r="T8" s="7"/>
      <c r="U8" s="7"/>
      <c r="V8" s="7"/>
      <c r="W8" s="7"/>
      <c r="X8" s="7"/>
      <c r="Y8" s="7"/>
      <c r="Z8" s="7"/>
      <c r="AA8" s="7"/>
    </row>
    <row r="9" spans="2:27" ht="15" customHeight="1" thickTop="1" thickBot="1" x14ac:dyDescent="0.35">
      <c r="B9" s="5" t="s">
        <v>23</v>
      </c>
      <c r="C9" s="16">
        <v>70000</v>
      </c>
      <c r="H9" s="70" t="s">
        <v>120</v>
      </c>
      <c r="I9" t="s">
        <v>121</v>
      </c>
      <c r="L9" t="s">
        <v>122</v>
      </c>
      <c r="M9" t="s">
        <v>123</v>
      </c>
      <c r="N9" t="s">
        <v>124</v>
      </c>
      <c r="O9" t="s">
        <v>125</v>
      </c>
      <c r="P9" t="s">
        <v>126</v>
      </c>
      <c r="Q9" t="s">
        <v>155</v>
      </c>
      <c r="R9" t="s">
        <v>127</v>
      </c>
      <c r="S9"/>
      <c r="T9" s="7"/>
      <c r="U9" s="7"/>
      <c r="V9" s="7"/>
      <c r="W9" s="7"/>
      <c r="X9" s="7"/>
      <c r="Y9" s="7"/>
      <c r="Z9" s="7"/>
      <c r="AA9" s="7"/>
    </row>
    <row r="10" spans="2:27" ht="15" customHeight="1" thickTop="1" x14ac:dyDescent="0.3">
      <c r="B10" s="11" t="s">
        <v>55</v>
      </c>
      <c r="C10" s="17">
        <v>360</v>
      </c>
      <c r="H10" s="71">
        <v>30000</v>
      </c>
      <c r="I10" s="71">
        <v>30001</v>
      </c>
      <c r="L10" s="67">
        <f>VLOOKUP(C12,F20:G26,2,FALSE)</f>
        <v>0.9</v>
      </c>
      <c r="M10" s="67">
        <f>VLOOKUP(J30,$F$28:$G$31,2,FALSE)</f>
        <v>0.05</v>
      </c>
      <c r="N10" s="67">
        <f>VLOOKUP(H16,G11:I14,MATCH(H17,H10:I10)+1,FALSE)</f>
        <v>1.05</v>
      </c>
      <c r="O10" s="67">
        <f>VLOOKUP(C7,F34:H36,2,FALSE)</f>
        <v>0.15</v>
      </c>
      <c r="P10" s="67">
        <f>-SUM(M45:M49)</f>
        <v>-0.8</v>
      </c>
      <c r="Q10" s="67">
        <f>-VLOOKUP(C7,L26:N28,3,0)</f>
        <v>0</v>
      </c>
      <c r="R10" s="1">
        <f>IF(AND(J30&lt;=80,C12="4 roky",C7&lt;&gt;"hypotéka pre mladých",C7&lt;&gt;"neúčelová (americká) hypotéka"),1.3,SUM(L10:Q10))</f>
        <v>1.3499999999999999</v>
      </c>
      <c r="S10"/>
      <c r="T10" s="7"/>
      <c r="U10" s="7"/>
      <c r="V10" s="7"/>
      <c r="W10" s="7"/>
      <c r="X10" s="7"/>
      <c r="Y10" s="7"/>
      <c r="Z10" s="7"/>
      <c r="AA10" s="7"/>
    </row>
    <row r="11" spans="2:27" ht="15" customHeight="1" thickBot="1" x14ac:dyDescent="0.35">
      <c r="B11" s="12"/>
      <c r="C11" s="61" t="str">
        <f>CONCATENATE("(",Q12," ",Q13," ",R12," ",R13,")")</f>
        <v>(30 rokov 0 mesiacov)</v>
      </c>
      <c r="F11" s="70">
        <v>750</v>
      </c>
      <c r="G11" s="71">
        <v>749</v>
      </c>
      <c r="H11" s="72">
        <v>1.05</v>
      </c>
      <c r="I11" s="72">
        <v>1.05</v>
      </c>
      <c r="S11"/>
      <c r="T11" s="7"/>
      <c r="U11" s="7"/>
      <c r="V11" s="7"/>
      <c r="W11" s="7"/>
      <c r="X11" s="7"/>
      <c r="Y11" s="7"/>
      <c r="Z11" s="7"/>
      <c r="AA11" s="7"/>
    </row>
    <row r="12" spans="2:27" ht="15" customHeight="1" thickTop="1" thickBot="1" x14ac:dyDescent="0.35">
      <c r="B12" s="5" t="s">
        <v>25</v>
      </c>
      <c r="C12" s="15" t="s">
        <v>16</v>
      </c>
      <c r="F12" t="s">
        <v>129</v>
      </c>
      <c r="G12" s="71">
        <v>1199</v>
      </c>
      <c r="H12" s="72">
        <v>1.05</v>
      </c>
      <c r="I12" s="72">
        <v>1.05</v>
      </c>
      <c r="N12" s="81" t="b">
        <f>IF(C7="hypotéka pre mladých",C9&lt;=50000,IF(C7="neúčelová (americká) hypotéka",C9&lt;=165000,IF(C7="účelová hypotéka",C9&gt;=0,"ine")))</f>
        <v>1</v>
      </c>
      <c r="O12" s="2"/>
      <c r="P12" s="2">
        <f>C10/12</f>
        <v>30</v>
      </c>
      <c r="Q12" s="2">
        <f>ROUNDDOWN(P12,0)</f>
        <v>30</v>
      </c>
      <c r="R12" s="2">
        <f>ROUND((P12-Q12)*12,0)</f>
        <v>0</v>
      </c>
      <c r="S12" s="7"/>
      <c r="T12" s="7"/>
      <c r="U12" s="7"/>
      <c r="V12" s="7"/>
      <c r="W12" s="7"/>
      <c r="X12" s="7"/>
      <c r="Y12" s="7"/>
      <c r="Z12" s="7"/>
    </row>
    <row r="13" spans="2:27" ht="15" customHeight="1" thickTop="1" thickBot="1" x14ac:dyDescent="0.35">
      <c r="B13" s="5" t="s">
        <v>24</v>
      </c>
      <c r="C13" s="16">
        <v>100000</v>
      </c>
      <c r="F13" t="s">
        <v>130</v>
      </c>
      <c r="G13" s="71">
        <v>2499</v>
      </c>
      <c r="H13" s="72">
        <v>1.05</v>
      </c>
      <c r="I13" s="72">
        <v>1.05</v>
      </c>
      <c r="N13" s="2"/>
      <c r="O13" s="2"/>
      <c r="P13" s="2"/>
      <c r="Q13" s="2" t="str">
        <f>VLOOKUP(Q12,$O$17:$P$46,2,FALSE)</f>
        <v>rokov</v>
      </c>
      <c r="R13" s="2" t="str">
        <f>VLOOKUP(R12,$Q$17:$R$29,2,FALSE)</f>
        <v>mesiacov</v>
      </c>
      <c r="S13" s="7"/>
      <c r="T13" s="7"/>
      <c r="U13" s="7"/>
      <c r="V13" s="7"/>
      <c r="W13" s="7"/>
      <c r="X13" s="7"/>
      <c r="Y13" s="7"/>
      <c r="Z13" s="7"/>
    </row>
    <row r="14" spans="2:27" ht="15" customHeight="1" thickTop="1" x14ac:dyDescent="0.3">
      <c r="F14" t="s">
        <v>132</v>
      </c>
      <c r="G14" s="71" t="s">
        <v>133</v>
      </c>
      <c r="H14" s="72">
        <v>1.05</v>
      </c>
      <c r="I14" s="72">
        <v>1.05</v>
      </c>
      <c r="O14" s="13">
        <f ca="1">TODAY()+C10*31</f>
        <v>55040</v>
      </c>
      <c r="P14" s="2">
        <f ca="1">ROUNDUP((TODAY()+C10*31-C19)/365,0)</f>
        <v>71</v>
      </c>
      <c r="Q14" s="2" t="b">
        <f ca="1">IF(ROUNDUP((TODAY()+C10*31-C19)/365,0)&lt;=65,TRUE,FALSE)</f>
        <v>0</v>
      </c>
      <c r="S14" s="7"/>
      <c r="T14" s="7"/>
      <c r="U14" s="7"/>
      <c r="V14" s="7"/>
      <c r="W14" s="7"/>
      <c r="X14" s="7"/>
      <c r="Y14" s="7"/>
      <c r="Z14" s="7"/>
    </row>
    <row r="15" spans="2:27" ht="15" customHeight="1" thickBot="1" x14ac:dyDescent="0.35">
      <c r="B15" s="6" t="s">
        <v>36</v>
      </c>
      <c r="C15" s="6"/>
      <c r="S15" s="7"/>
      <c r="T15" s="7"/>
      <c r="U15" s="7"/>
      <c r="V15" s="7"/>
      <c r="W15" s="7"/>
      <c r="X15" s="7"/>
      <c r="Y15" s="7"/>
      <c r="Z15" s="7"/>
    </row>
    <row r="16" spans="2:27" ht="15" customHeight="1" thickTop="1" thickBot="1" x14ac:dyDescent="0.35">
      <c r="B16" s="5" t="s">
        <v>0</v>
      </c>
      <c r="C16" s="15" t="s">
        <v>172</v>
      </c>
      <c r="G16" t="s">
        <v>135</v>
      </c>
      <c r="H16">
        <f>IF(C20&lt;=G11,G11,IF(C20&lt;=G12,G12,IF(C20&lt;=G13,G13,"viac")))</f>
        <v>2499</v>
      </c>
      <c r="S16" s="7"/>
      <c r="T16" s="7"/>
      <c r="U16" s="7"/>
      <c r="V16" s="7"/>
      <c r="W16" s="7"/>
      <c r="X16" s="7"/>
      <c r="Y16" s="7"/>
      <c r="Z16" s="7"/>
    </row>
    <row r="17" spans="2:27" ht="15" customHeight="1" thickTop="1" thickBot="1" x14ac:dyDescent="0.35">
      <c r="B17" s="5" t="s">
        <v>1</v>
      </c>
      <c r="C17" s="15" t="s">
        <v>173</v>
      </c>
      <c r="G17" t="s">
        <v>117</v>
      </c>
      <c r="H17">
        <f>IF(C9&lt;=H10,H10,I10)</f>
        <v>30001</v>
      </c>
      <c r="L17" s="77" t="s">
        <v>26</v>
      </c>
      <c r="O17" s="77">
        <v>1</v>
      </c>
      <c r="P17" s="77" t="s">
        <v>58</v>
      </c>
      <c r="Q17" s="77">
        <v>1</v>
      </c>
      <c r="R17" s="77" t="s">
        <v>61</v>
      </c>
      <c r="S17" s="78"/>
      <c r="T17" s="7"/>
      <c r="U17" s="7"/>
      <c r="V17" s="7"/>
      <c r="W17" s="7"/>
      <c r="X17" s="7"/>
      <c r="Y17" s="7"/>
      <c r="Z17" s="7"/>
    </row>
    <row r="18" spans="2:27" ht="15" customHeight="1" thickTop="1" thickBot="1" x14ac:dyDescent="0.35">
      <c r="B18" s="5" t="s">
        <v>37</v>
      </c>
      <c r="C18" s="15"/>
      <c r="L18" s="77" t="s">
        <v>28</v>
      </c>
      <c r="O18" s="77">
        <v>2</v>
      </c>
      <c r="P18" s="77" t="s">
        <v>59</v>
      </c>
      <c r="Q18" s="77">
        <v>2</v>
      </c>
      <c r="R18" s="77" t="s">
        <v>56</v>
      </c>
      <c r="S18" s="7"/>
      <c r="T18" s="7"/>
      <c r="U18" s="7"/>
      <c r="V18" s="7"/>
      <c r="W18" s="7"/>
      <c r="X18" s="7"/>
      <c r="Y18" s="7"/>
      <c r="Z18" s="7"/>
    </row>
    <row r="19" spans="2:27" ht="15" customHeight="1" thickTop="1" thickBot="1" x14ac:dyDescent="0.35">
      <c r="B19" s="5" t="s">
        <v>38</v>
      </c>
      <c r="C19" s="18">
        <v>29323</v>
      </c>
      <c r="F19" s="67" t="s">
        <v>136</v>
      </c>
      <c r="G19" s="67"/>
      <c r="I19" s="73"/>
      <c r="J19" s="73"/>
      <c r="K19" s="73"/>
      <c r="L19" s="77" t="s">
        <v>31</v>
      </c>
      <c r="O19" s="77">
        <v>3</v>
      </c>
      <c r="P19" s="77" t="s">
        <v>59</v>
      </c>
      <c r="Q19" s="77">
        <v>3</v>
      </c>
      <c r="R19" s="77" t="s">
        <v>56</v>
      </c>
      <c r="S19" s="7"/>
      <c r="T19" s="7"/>
      <c r="U19" s="7"/>
      <c r="V19" s="7"/>
      <c r="W19" s="7"/>
      <c r="X19" s="7"/>
      <c r="Y19" s="7"/>
      <c r="Z19" s="7"/>
    </row>
    <row r="20" spans="2:27" ht="15" customHeight="1" thickTop="1" thickBot="1" x14ac:dyDescent="0.35">
      <c r="B20" s="5" t="s">
        <v>115</v>
      </c>
      <c r="C20" s="19">
        <v>1500</v>
      </c>
      <c r="F20" t="s">
        <v>13</v>
      </c>
      <c r="G20">
        <v>0.9</v>
      </c>
      <c r="H20" s="84">
        <v>1.5</v>
      </c>
      <c r="I20" s="85">
        <f>IF(C12=F20,H20,IF(C12=F21,H21,IF(C12=F22,H22,IF(C12=F23,H23,IF(C12=F24,H24,IF(C12=F25,H25,IF(C12=F26,H26,"CHYBA")))))))</f>
        <v>1.0900000000000001</v>
      </c>
      <c r="J20" s="74"/>
      <c r="K20" s="74"/>
      <c r="L20" s="77" t="s">
        <v>54</v>
      </c>
      <c r="O20" s="77">
        <v>4</v>
      </c>
      <c r="P20" s="77" t="s">
        <v>59</v>
      </c>
      <c r="Q20" s="77">
        <v>4</v>
      </c>
      <c r="R20" s="77" t="s">
        <v>56</v>
      </c>
      <c r="S20" s="7"/>
      <c r="T20" s="7"/>
      <c r="U20" s="7"/>
      <c r="V20" s="7"/>
      <c r="W20" s="7"/>
      <c r="X20" s="7"/>
      <c r="Y20" s="7"/>
      <c r="Z20" s="7"/>
      <c r="AA20" s="7"/>
    </row>
    <row r="21" spans="2:27" ht="15" customHeight="1" thickTop="1" thickBot="1" x14ac:dyDescent="0.35">
      <c r="B21" s="5" t="s">
        <v>116</v>
      </c>
      <c r="C21" s="19">
        <v>700</v>
      </c>
      <c r="F21" t="s">
        <v>14</v>
      </c>
      <c r="G21">
        <v>0.7</v>
      </c>
      <c r="H21" s="84">
        <v>0.89</v>
      </c>
      <c r="I21" s="73"/>
      <c r="J21" s="74"/>
      <c r="K21" s="74"/>
      <c r="L21" s="77" t="s">
        <v>30</v>
      </c>
      <c r="O21" s="77">
        <v>5</v>
      </c>
      <c r="P21" s="77" t="s">
        <v>60</v>
      </c>
      <c r="Q21" s="77">
        <v>5</v>
      </c>
      <c r="R21" s="77" t="s">
        <v>62</v>
      </c>
      <c r="S21" s="7"/>
      <c r="T21" s="7"/>
      <c r="U21" s="7"/>
      <c r="V21" s="7"/>
      <c r="W21" s="7"/>
      <c r="X21" s="7"/>
      <c r="Y21" s="7"/>
      <c r="Z21" s="7"/>
      <c r="AA21" s="7"/>
    </row>
    <row r="22" spans="2:27" ht="15" customHeight="1" thickTop="1" thickBot="1" x14ac:dyDescent="0.35">
      <c r="B22" s="5" t="s">
        <v>39</v>
      </c>
      <c r="C22" s="19">
        <v>10</v>
      </c>
      <c r="F22" t="s">
        <v>175</v>
      </c>
      <c r="G22">
        <v>0.8</v>
      </c>
      <c r="H22" s="84">
        <v>0.99</v>
      </c>
      <c r="I22" s="73"/>
      <c r="J22" s="74"/>
      <c r="K22" s="74"/>
      <c r="L22" s="77" t="s">
        <v>27</v>
      </c>
      <c r="O22" s="77">
        <v>6</v>
      </c>
      <c r="P22" s="77" t="s">
        <v>60</v>
      </c>
      <c r="Q22" s="77">
        <v>6</v>
      </c>
      <c r="R22" s="77" t="s">
        <v>62</v>
      </c>
      <c r="S22" s="7"/>
      <c r="T22" s="7"/>
      <c r="U22" s="7"/>
      <c r="V22" s="7"/>
      <c r="W22" s="7"/>
      <c r="X22" s="7"/>
      <c r="Y22" s="7"/>
      <c r="Z22" s="7"/>
      <c r="AA22" s="7"/>
    </row>
    <row r="23" spans="2:27" ht="15" customHeight="1" thickTop="1" thickBot="1" x14ac:dyDescent="0.35">
      <c r="B23" s="5" t="s">
        <v>41</v>
      </c>
      <c r="C23" s="15">
        <v>3</v>
      </c>
      <c r="F23" t="s">
        <v>15</v>
      </c>
      <c r="G23">
        <v>0.8</v>
      </c>
      <c r="H23" s="84">
        <v>0.99</v>
      </c>
      <c r="I23" s="73"/>
      <c r="J23" s="74"/>
      <c r="K23" s="74"/>
      <c r="L23" s="77" t="s">
        <v>29</v>
      </c>
      <c r="O23" s="77">
        <v>7</v>
      </c>
      <c r="P23" s="77" t="s">
        <v>60</v>
      </c>
      <c r="Q23" s="77">
        <v>7</v>
      </c>
      <c r="R23" s="77" t="s">
        <v>62</v>
      </c>
      <c r="S23" s="7"/>
      <c r="T23" s="7"/>
      <c r="U23" s="7"/>
      <c r="V23" s="7"/>
      <c r="W23" s="7"/>
      <c r="X23" s="7"/>
      <c r="Y23" s="7"/>
      <c r="Z23" s="7"/>
      <c r="AA23" s="7"/>
    </row>
    <row r="24" spans="2:27" ht="15" customHeight="1" thickTop="1" thickBot="1" x14ac:dyDescent="0.35">
      <c r="B24" s="5" t="s">
        <v>40</v>
      </c>
      <c r="C24" s="15">
        <v>1</v>
      </c>
      <c r="F24" t="s">
        <v>16</v>
      </c>
      <c r="G24">
        <v>0.9</v>
      </c>
      <c r="H24" s="84">
        <v>1.0900000000000001</v>
      </c>
      <c r="I24" s="73"/>
      <c r="J24" s="73"/>
      <c r="K24" s="73"/>
      <c r="L24" s="77" t="s">
        <v>32</v>
      </c>
      <c r="O24" s="77">
        <v>8</v>
      </c>
      <c r="P24" s="77" t="s">
        <v>60</v>
      </c>
      <c r="Q24" s="77">
        <v>8</v>
      </c>
      <c r="R24" s="77" t="s">
        <v>62</v>
      </c>
      <c r="S24" s="7"/>
      <c r="T24" s="7"/>
      <c r="U24" s="7"/>
      <c r="V24" s="7"/>
      <c r="W24" s="7"/>
      <c r="X24" s="7"/>
      <c r="Y24" s="7"/>
      <c r="Z24" s="7"/>
      <c r="AA24" s="7"/>
    </row>
    <row r="25" spans="2:27" ht="15" customHeight="1" thickTop="1" x14ac:dyDescent="0.3">
      <c r="F25" t="s">
        <v>17</v>
      </c>
      <c r="G25">
        <v>4</v>
      </c>
      <c r="H25" s="84">
        <v>4.3499999999999996</v>
      </c>
      <c r="I25" s="73"/>
      <c r="J25" s="73"/>
      <c r="K25" s="73"/>
      <c r="L25" s="73"/>
      <c r="O25" s="77">
        <v>9</v>
      </c>
      <c r="P25" s="77" t="s">
        <v>60</v>
      </c>
      <c r="Q25" s="77">
        <v>9</v>
      </c>
      <c r="R25" s="77" t="s">
        <v>62</v>
      </c>
      <c r="S25" s="7"/>
      <c r="T25" s="7"/>
      <c r="U25" s="7"/>
      <c r="V25" s="7"/>
      <c r="W25" s="7"/>
      <c r="X25" s="7"/>
      <c r="Y25" s="7"/>
      <c r="Z25" s="7"/>
    </row>
    <row r="26" spans="2:27" ht="15" customHeight="1" thickBot="1" x14ac:dyDescent="0.35">
      <c r="B26" s="6" t="s">
        <v>42</v>
      </c>
      <c r="C26" s="6"/>
      <c r="F26" t="s">
        <v>18</v>
      </c>
      <c r="G26">
        <v>4.0999999999999996</v>
      </c>
      <c r="H26" s="84">
        <v>4.45</v>
      </c>
      <c r="L26" s="77" t="s">
        <v>33</v>
      </c>
      <c r="M26" s="2" t="s">
        <v>3</v>
      </c>
      <c r="N26" s="2">
        <v>0</v>
      </c>
      <c r="O26" s="77">
        <v>10</v>
      </c>
      <c r="P26" s="77" t="s">
        <v>60</v>
      </c>
      <c r="Q26" s="77">
        <v>10</v>
      </c>
      <c r="R26" s="77" t="s">
        <v>62</v>
      </c>
      <c r="S26" s="7"/>
      <c r="T26" s="7"/>
      <c r="U26" s="7"/>
      <c r="V26" s="7"/>
      <c r="W26" s="7"/>
      <c r="X26" s="7"/>
      <c r="Y26" s="7"/>
      <c r="Z26" s="7"/>
    </row>
    <row r="27" spans="2:27" ht="15" customHeight="1" thickTop="1" thickBot="1" x14ac:dyDescent="0.35">
      <c r="B27" s="5" t="s">
        <v>45</v>
      </c>
      <c r="C27" s="15" t="s">
        <v>6</v>
      </c>
      <c r="F27" s="67" t="s">
        <v>137</v>
      </c>
      <c r="G27" s="67"/>
      <c r="H27" s="67"/>
      <c r="L27" s="77" t="s">
        <v>34</v>
      </c>
      <c r="M27" s="2" t="s">
        <v>4</v>
      </c>
      <c r="N27" s="2">
        <v>-0.05</v>
      </c>
      <c r="O27" s="77">
        <v>11</v>
      </c>
      <c r="P27" s="77" t="s">
        <v>60</v>
      </c>
      <c r="Q27" s="77">
        <v>11</v>
      </c>
      <c r="R27" s="77" t="s">
        <v>62</v>
      </c>
      <c r="S27" s="7"/>
      <c r="T27" s="7"/>
      <c r="U27" s="7"/>
      <c r="V27" s="7"/>
      <c r="W27" s="7"/>
      <c r="X27" s="7"/>
      <c r="Y27" s="7"/>
      <c r="Z27" s="7"/>
    </row>
    <row r="28" spans="2:27" ht="15" customHeight="1" thickTop="1" thickBot="1" x14ac:dyDescent="0.35">
      <c r="B28" s="5" t="s">
        <v>46</v>
      </c>
      <c r="C28" s="15" t="s">
        <v>6</v>
      </c>
      <c r="F28">
        <v>70</v>
      </c>
      <c r="G28">
        <v>0.05</v>
      </c>
      <c r="L28" s="77" t="s">
        <v>35</v>
      </c>
      <c r="M28" s="2" t="s">
        <v>5</v>
      </c>
      <c r="N28" s="2">
        <v>0</v>
      </c>
      <c r="O28" s="77">
        <v>12</v>
      </c>
      <c r="P28" s="77" t="s">
        <v>60</v>
      </c>
      <c r="Q28" s="77">
        <v>12</v>
      </c>
      <c r="R28" s="77" t="s">
        <v>62</v>
      </c>
      <c r="S28" s="7"/>
      <c r="T28" s="7"/>
      <c r="U28" s="7"/>
      <c r="V28" s="7"/>
      <c r="W28" s="7"/>
      <c r="X28" s="7"/>
      <c r="Y28" s="7"/>
      <c r="Z28" s="7"/>
    </row>
    <row r="29" spans="2:27" ht="15" customHeight="1" thickTop="1" thickBot="1" x14ac:dyDescent="0.35">
      <c r="B29" s="5" t="s">
        <v>47</v>
      </c>
      <c r="C29" s="15" t="s">
        <v>6</v>
      </c>
      <c r="F29">
        <v>90</v>
      </c>
      <c r="G29">
        <v>0.3</v>
      </c>
      <c r="I29" t="s">
        <v>138</v>
      </c>
      <c r="J29">
        <f>ROUNDUP(C9/C13*100,0)</f>
        <v>70</v>
      </c>
      <c r="O29" s="77">
        <v>13</v>
      </c>
      <c r="P29" s="77" t="s">
        <v>60</v>
      </c>
      <c r="Q29" s="77">
        <v>0</v>
      </c>
      <c r="R29" s="77" t="s">
        <v>62</v>
      </c>
      <c r="U29" s="2" t="s">
        <v>110</v>
      </c>
    </row>
    <row r="30" spans="2:27" ht="15" customHeight="1" thickTop="1" thickBot="1" x14ac:dyDescent="0.35">
      <c r="B30" s="5" t="s">
        <v>171</v>
      </c>
      <c r="C30" s="15" t="s">
        <v>6</v>
      </c>
      <c r="F30">
        <v>100</v>
      </c>
      <c r="G30">
        <v>0.65</v>
      </c>
      <c r="I30" t="s">
        <v>139</v>
      </c>
      <c r="J30">
        <f>IF(J29&lt;=F28,F28,IF(J29&lt;=F31,F31,IF(J29&lt;=F29,F29,IF(J29&lt;=F30,F30,F30))))</f>
        <v>70</v>
      </c>
      <c r="O30" s="77">
        <v>14</v>
      </c>
      <c r="P30" s="77" t="s">
        <v>60</v>
      </c>
      <c r="Q30" s="77"/>
      <c r="R30" s="77"/>
      <c r="U30" s="2" t="s">
        <v>111</v>
      </c>
      <c r="V30" s="66" t="s">
        <v>112</v>
      </c>
      <c r="W30" s="66" t="s">
        <v>113</v>
      </c>
      <c r="X30" s="66" t="s">
        <v>114</v>
      </c>
      <c r="Z30" s="2" t="s">
        <v>102</v>
      </c>
      <c r="AA30" s="63">
        <f>C20+C21</f>
        <v>2200</v>
      </c>
    </row>
    <row r="31" spans="2:27" ht="15" customHeight="1" thickTop="1" x14ac:dyDescent="0.3">
      <c r="B31" s="8" t="s">
        <v>52</v>
      </c>
      <c r="C31" s="20"/>
      <c r="D31" s="2" t="s">
        <v>12</v>
      </c>
      <c r="F31">
        <v>80</v>
      </c>
      <c r="G31">
        <v>0.05</v>
      </c>
      <c r="O31" s="77">
        <v>15</v>
      </c>
      <c r="P31" s="77" t="s">
        <v>60</v>
      </c>
      <c r="Q31" s="77"/>
      <c r="R31" s="77"/>
      <c r="U31" s="2" t="s">
        <v>98</v>
      </c>
      <c r="V31" s="2">
        <v>1</v>
      </c>
      <c r="W31" s="2">
        <v>230</v>
      </c>
      <c r="X31" s="2">
        <f>V31*W31</f>
        <v>230</v>
      </c>
      <c r="Z31" s="2" t="s">
        <v>103</v>
      </c>
      <c r="AA31" s="63">
        <f>C22</f>
        <v>10</v>
      </c>
    </row>
    <row r="32" spans="2:27" ht="15" customHeight="1" x14ac:dyDescent="0.3">
      <c r="O32" s="77">
        <v>16</v>
      </c>
      <c r="P32" s="77" t="s">
        <v>60</v>
      </c>
      <c r="Q32" s="77"/>
      <c r="R32" s="77"/>
      <c r="U32" s="2" t="s">
        <v>99</v>
      </c>
      <c r="V32" s="2">
        <f>IF((C23-1-C24)&lt;0,0,(C23-1-C24))</f>
        <v>1</v>
      </c>
      <c r="W32" s="2">
        <v>125</v>
      </c>
      <c r="X32" s="2">
        <f>V32*W32</f>
        <v>125</v>
      </c>
      <c r="Z32" s="2" t="s">
        <v>104</v>
      </c>
      <c r="AA32" s="2">
        <f>X34</f>
        <v>465</v>
      </c>
    </row>
    <row r="33" spans="2:27" ht="15" customHeight="1" thickBot="1" x14ac:dyDescent="0.35">
      <c r="B33" s="6" t="s">
        <v>43</v>
      </c>
      <c r="C33" s="86">
        <f>I20</f>
        <v>1.0900000000000001</v>
      </c>
      <c r="D33" s="9" t="s">
        <v>12</v>
      </c>
      <c r="E33" s="9"/>
      <c r="F33" s="67" t="s">
        <v>140</v>
      </c>
      <c r="G33" s="67"/>
      <c r="H33" s="67"/>
      <c r="O33" s="77">
        <v>17</v>
      </c>
      <c r="P33" s="77" t="s">
        <v>60</v>
      </c>
      <c r="Q33" s="77"/>
      <c r="R33" s="77"/>
      <c r="U33" s="2" t="s">
        <v>100</v>
      </c>
      <c r="V33" s="2">
        <f>C24</f>
        <v>1</v>
      </c>
      <c r="W33" s="2">
        <v>110</v>
      </c>
      <c r="X33" s="2">
        <f>V33*W33</f>
        <v>110</v>
      </c>
      <c r="Z33" s="2" t="s">
        <v>105</v>
      </c>
      <c r="AA33" s="2">
        <v>0.3</v>
      </c>
    </row>
    <row r="34" spans="2:27" ht="15" customHeight="1" thickTop="1" x14ac:dyDescent="0.3">
      <c r="B34" s="10" t="s">
        <v>44</v>
      </c>
      <c r="C34" s="62">
        <f>-PMT(C33/12/100,C10,C9,0,0)</f>
        <v>228.05319152336625</v>
      </c>
      <c r="F34" t="s">
        <v>33</v>
      </c>
      <c r="G34">
        <v>0.15</v>
      </c>
      <c r="O34" s="77">
        <v>18</v>
      </c>
      <c r="P34" s="77" t="s">
        <v>60</v>
      </c>
      <c r="Q34" s="77"/>
      <c r="R34" s="77"/>
      <c r="U34" s="2" t="s">
        <v>101</v>
      </c>
      <c r="X34" s="2">
        <f>SUM(X31:X33)</f>
        <v>465</v>
      </c>
      <c r="Z34" s="2" t="s">
        <v>106</v>
      </c>
      <c r="AA34" s="64">
        <v>0.79</v>
      </c>
    </row>
    <row r="35" spans="2:27" ht="15" customHeight="1" x14ac:dyDescent="0.3">
      <c r="B35" s="2" t="s">
        <v>57</v>
      </c>
      <c r="D35" s="7"/>
      <c r="E35" s="7"/>
      <c r="F35" t="s">
        <v>35</v>
      </c>
      <c r="G35">
        <v>1.1000000000000001</v>
      </c>
      <c r="O35" s="77">
        <v>19</v>
      </c>
      <c r="P35" s="77" t="s">
        <v>60</v>
      </c>
      <c r="Q35" s="77"/>
      <c r="R35" s="77"/>
      <c r="Z35" s="2" t="s">
        <v>107</v>
      </c>
      <c r="AA35" s="65">
        <f>C33/100</f>
        <v>1.09E-2</v>
      </c>
    </row>
    <row r="36" spans="2:27" ht="15" customHeight="1" x14ac:dyDescent="0.3">
      <c r="F36" t="s">
        <v>34</v>
      </c>
      <c r="G36">
        <v>1.4</v>
      </c>
      <c r="O36" s="77">
        <v>20</v>
      </c>
      <c r="P36" s="77" t="s">
        <v>60</v>
      </c>
      <c r="Q36" s="77"/>
      <c r="R36" s="77"/>
    </row>
    <row r="37" spans="2:27" ht="15" customHeight="1" thickBot="1" x14ac:dyDescent="0.35">
      <c r="B37" s="6" t="s">
        <v>51</v>
      </c>
      <c r="C37" s="6"/>
      <c r="O37" s="77">
        <v>21</v>
      </c>
      <c r="P37" s="77" t="s">
        <v>60</v>
      </c>
      <c r="Q37" s="77"/>
      <c r="R37" s="77"/>
      <c r="Y37" s="2" t="s">
        <v>108</v>
      </c>
      <c r="Z37" s="63">
        <f>(AA30-AA31-AA32)/((1/AA34)+AA33)</f>
        <v>1101.6572352465644</v>
      </c>
    </row>
    <row r="38" spans="2:27" ht="15" customHeight="1" thickTop="1" thickBot="1" x14ac:dyDescent="0.35">
      <c r="B38" s="5" t="s">
        <v>48</v>
      </c>
      <c r="C38" s="21"/>
      <c r="F38" s="67" t="s">
        <v>141</v>
      </c>
      <c r="G38" s="67"/>
      <c r="H38" s="67"/>
      <c r="I38" s="67"/>
      <c r="J38" s="67"/>
      <c r="K38" s="67"/>
      <c r="L38" s="67"/>
      <c r="M38" s="67"/>
      <c r="O38" s="77">
        <v>22</v>
      </c>
      <c r="P38" s="77" t="s">
        <v>60</v>
      </c>
      <c r="Q38" s="77"/>
      <c r="R38" s="77"/>
      <c r="Y38" s="2" t="s">
        <v>109</v>
      </c>
      <c r="Z38" s="63">
        <f>Z37/(((AA35/12)*(1+AA35/12)^C10)/(((1+AA35/12)^C10)-1))</f>
        <v>338149.20963014627</v>
      </c>
    </row>
    <row r="39" spans="2:27" ht="15" customHeight="1" thickTop="1" thickBot="1" x14ac:dyDescent="0.35">
      <c r="B39" s="5" t="s">
        <v>49</v>
      </c>
      <c r="C39" s="21"/>
      <c r="G39" t="s">
        <v>2</v>
      </c>
      <c r="H39" t="s">
        <v>8</v>
      </c>
      <c r="I39" t="s">
        <v>9</v>
      </c>
      <c r="J39" t="s">
        <v>134</v>
      </c>
      <c r="L39" t="s">
        <v>2</v>
      </c>
      <c r="M39" t="str">
        <f>VLOOKUP(C27,F40:I41,2,FALSE)</f>
        <v>A</v>
      </c>
      <c r="O39" s="77">
        <v>23</v>
      </c>
      <c r="P39" s="77" t="s">
        <v>60</v>
      </c>
      <c r="Q39" s="77"/>
      <c r="R39" s="77"/>
      <c r="S39" s="7"/>
      <c r="T39" s="7"/>
      <c r="U39" s="7"/>
    </row>
    <row r="40" spans="2:27" ht="15" customHeight="1" thickTop="1" thickBot="1" x14ac:dyDescent="0.35">
      <c r="B40" s="5" t="s">
        <v>0</v>
      </c>
      <c r="C40" s="21"/>
      <c r="F40" t="s">
        <v>6</v>
      </c>
      <c r="G40" t="s">
        <v>10</v>
      </c>
      <c r="H40" t="s">
        <v>10</v>
      </c>
      <c r="I40" t="s">
        <v>10</v>
      </c>
      <c r="J40" t="s">
        <v>10</v>
      </c>
      <c r="L40" t="s">
        <v>8</v>
      </c>
      <c r="M40" t="str">
        <f>VLOOKUP(C28,F40:I41,3,FALSE)</f>
        <v>A</v>
      </c>
      <c r="O40" s="77">
        <v>24</v>
      </c>
      <c r="P40" s="77" t="s">
        <v>60</v>
      </c>
      <c r="Q40" s="77"/>
      <c r="R40" s="77"/>
      <c r="S40" s="14"/>
      <c r="T40" s="14"/>
      <c r="U40" s="14"/>
    </row>
    <row r="41" spans="2:27" ht="15" customHeight="1" thickTop="1" thickBot="1" x14ac:dyDescent="0.35">
      <c r="B41" s="5" t="s">
        <v>50</v>
      </c>
      <c r="C41" s="21"/>
      <c r="F41" t="s">
        <v>7</v>
      </c>
      <c r="G41" t="s">
        <v>11</v>
      </c>
      <c r="H41" t="s">
        <v>11</v>
      </c>
      <c r="I41" t="s">
        <v>11</v>
      </c>
      <c r="J41" t="s">
        <v>11</v>
      </c>
      <c r="L41" t="s">
        <v>9</v>
      </c>
      <c r="M41" t="str">
        <f>VLOOKUP(C29,F40:I41,4,FALSE)</f>
        <v>A</v>
      </c>
      <c r="O41" s="77">
        <v>25</v>
      </c>
      <c r="P41" s="77" t="s">
        <v>60</v>
      </c>
      <c r="Q41" s="77"/>
      <c r="R41" s="77"/>
      <c r="S41" s="79"/>
      <c r="T41" s="79"/>
      <c r="U41" s="14"/>
    </row>
    <row r="42" spans="2:27" ht="15" customHeight="1" thickTop="1" x14ac:dyDescent="0.3">
      <c r="L42" t="s">
        <v>159</v>
      </c>
      <c r="M42" t="str">
        <f>VLOOKUP(C30,F40:J41,5,FALSE)</f>
        <v>A</v>
      </c>
      <c r="O42" s="77">
        <v>26</v>
      </c>
      <c r="P42" s="77" t="s">
        <v>60</v>
      </c>
      <c r="Q42" s="77"/>
      <c r="R42" s="77"/>
      <c r="S42" s="80"/>
      <c r="T42" s="80"/>
      <c r="U42" s="14"/>
    </row>
    <row r="43" spans="2:27" ht="15" customHeight="1" x14ac:dyDescent="0.3">
      <c r="B43" s="83" t="str">
        <f>IF(C34&lt;=Z37,"Vzhľadom na príjmy a výdavky klient MÁ nárok na poskytnutie hypotéky.","Vzhľadom na príjmy a výdavky klient NEMÁ nárok na poskytnutie hypotéky.")</f>
        <v>Vzhľadom na príjmy a výdavky klient MÁ nárok na poskytnutie hypotéky.</v>
      </c>
      <c r="O43" s="77">
        <v>27</v>
      </c>
      <c r="P43" s="77" t="s">
        <v>60</v>
      </c>
      <c r="Q43" s="77"/>
      <c r="R43" s="77"/>
      <c r="S43" s="80"/>
      <c r="T43" s="80"/>
      <c r="U43" s="14"/>
    </row>
    <row r="44" spans="2:27" ht="15" customHeight="1" x14ac:dyDescent="0.3">
      <c r="O44" s="77">
        <v>28</v>
      </c>
      <c r="P44" s="77" t="s">
        <v>60</v>
      </c>
      <c r="Q44" s="77"/>
      <c r="R44" s="77"/>
      <c r="S44" s="14"/>
      <c r="T44" s="14"/>
      <c r="U44" s="14"/>
    </row>
    <row r="45" spans="2:27" ht="15" customHeight="1" x14ac:dyDescent="0.3">
      <c r="B45" s="2" t="s">
        <v>53</v>
      </c>
      <c r="F45" t="s">
        <v>143</v>
      </c>
      <c r="G45">
        <v>0.5</v>
      </c>
      <c r="I45" t="s">
        <v>128</v>
      </c>
      <c r="J45" t="str">
        <f>CONCATENATE(L39,"_",M39,"_",$C$7)</f>
        <v>AU_A_účelová hypotéka</v>
      </c>
      <c r="M45">
        <f>VLOOKUP(J45,$F$45:$G$68,2,FALSE)</f>
        <v>0.5</v>
      </c>
      <c r="O45" s="77">
        <v>29</v>
      </c>
      <c r="P45" s="77" t="s">
        <v>60</v>
      </c>
      <c r="Q45" s="77"/>
      <c r="R45" s="77"/>
      <c r="S45" s="7"/>
      <c r="T45" s="7"/>
      <c r="U45" s="7"/>
    </row>
    <row r="46" spans="2:27" ht="15" customHeight="1" x14ac:dyDescent="0.3">
      <c r="F46" t="s">
        <v>149</v>
      </c>
      <c r="G46">
        <v>0.5</v>
      </c>
      <c r="I46" t="s">
        <v>142</v>
      </c>
      <c r="J46" t="str">
        <f>CONCATENATE(L40,"_",M40,"_",$C$7)</f>
        <v>PN_A_účelová hypotéka</v>
      </c>
      <c r="M46">
        <f>VLOOKUP(J46,$F$45:$G$68,2,FALSE)</f>
        <v>0.15</v>
      </c>
      <c r="O46" s="77">
        <v>30</v>
      </c>
      <c r="P46" s="77" t="s">
        <v>60</v>
      </c>
      <c r="Q46" s="77"/>
      <c r="R46" s="77"/>
      <c r="S46" s="7"/>
      <c r="T46" s="7"/>
      <c r="U46" s="7"/>
    </row>
    <row r="47" spans="2:27" ht="15" customHeight="1" x14ac:dyDescent="0.3">
      <c r="F47" t="s">
        <v>162</v>
      </c>
      <c r="G47">
        <v>0.5</v>
      </c>
      <c r="I47" t="s">
        <v>131</v>
      </c>
      <c r="J47" t="str">
        <f>CONCATENATE(L41,"_",M41,"_",$C$7)</f>
        <v>PU_A_účelová hypotéka</v>
      </c>
      <c r="M47">
        <f>VLOOKUP(J47,$F$45:$G$68,2,FALSE)</f>
        <v>0</v>
      </c>
    </row>
    <row r="48" spans="2:27" ht="15" customHeight="1" x14ac:dyDescent="0.3">
      <c r="F48" t="s">
        <v>144</v>
      </c>
      <c r="G48">
        <v>0.15</v>
      </c>
      <c r="I48" t="s">
        <v>134</v>
      </c>
      <c r="J48" t="str">
        <f>CONCATENATE(L42,"_",M42,"_",$C$7)</f>
        <v>prémiový klient_A_účelová hypotéka</v>
      </c>
      <c r="M48">
        <f>VLOOKUP(J48,$F$45:$G$68,2,FALSE)</f>
        <v>0.15</v>
      </c>
    </row>
    <row r="49" spans="6:13" ht="15" customHeight="1" x14ac:dyDescent="0.3">
      <c r="F49" t="s">
        <v>150</v>
      </c>
      <c r="G49">
        <v>0.15</v>
      </c>
      <c r="J49" t="s">
        <v>156</v>
      </c>
      <c r="M49">
        <f>IF(AND(J30&lt;=80,C12="3 roky",C7&lt;&gt;"hypotéka pre mladých",C7&lt;&gt;"neúčelová (americká) hypotéka"),0.1,0)</f>
        <v>0</v>
      </c>
    </row>
    <row r="50" spans="6:13" ht="15" customHeight="1" x14ac:dyDescent="0.3">
      <c r="F50" t="s">
        <v>163</v>
      </c>
      <c r="G50">
        <v>0.15</v>
      </c>
    </row>
    <row r="51" spans="6:13" ht="15" customHeight="1" x14ac:dyDescent="0.3">
      <c r="F51" t="s">
        <v>145</v>
      </c>
      <c r="G51">
        <v>0</v>
      </c>
    </row>
    <row r="52" spans="6:13" ht="15" customHeight="1" x14ac:dyDescent="0.3">
      <c r="F52" t="s">
        <v>151</v>
      </c>
      <c r="G52">
        <v>0</v>
      </c>
    </row>
    <row r="53" spans="6:13" ht="15" customHeight="1" x14ac:dyDescent="0.3">
      <c r="F53" t="s">
        <v>164</v>
      </c>
      <c r="G53">
        <v>0</v>
      </c>
    </row>
    <row r="54" spans="6:13" x14ac:dyDescent="0.3">
      <c r="F54" t="s">
        <v>157</v>
      </c>
      <c r="G54">
        <v>0.15</v>
      </c>
    </row>
    <row r="55" spans="6:13" x14ac:dyDescent="0.3">
      <c r="F55" t="s">
        <v>158</v>
      </c>
      <c r="G55">
        <v>0</v>
      </c>
    </row>
    <row r="56" spans="6:13" x14ac:dyDescent="0.3">
      <c r="F56" t="s">
        <v>165</v>
      </c>
      <c r="G56">
        <v>0.15</v>
      </c>
    </row>
    <row r="57" spans="6:13" x14ac:dyDescent="0.3">
      <c r="F57" t="s">
        <v>146</v>
      </c>
      <c r="G57">
        <v>0</v>
      </c>
    </row>
    <row r="58" spans="6:13" x14ac:dyDescent="0.3">
      <c r="F58" t="s">
        <v>152</v>
      </c>
      <c r="G58">
        <v>0</v>
      </c>
      <c r="J58" s="75"/>
      <c r="K58" s="76"/>
    </row>
    <row r="59" spans="6:13" x14ac:dyDescent="0.3">
      <c r="F59" t="s">
        <v>166</v>
      </c>
      <c r="G59">
        <v>0</v>
      </c>
    </row>
    <row r="60" spans="6:13" x14ac:dyDescent="0.3">
      <c r="F60" t="s">
        <v>147</v>
      </c>
      <c r="G60">
        <v>0</v>
      </c>
    </row>
    <row r="61" spans="6:13" x14ac:dyDescent="0.3">
      <c r="F61" t="s">
        <v>153</v>
      </c>
      <c r="G61">
        <v>0</v>
      </c>
    </row>
    <row r="62" spans="6:13" x14ac:dyDescent="0.3">
      <c r="F62" t="s">
        <v>167</v>
      </c>
      <c r="G62">
        <v>0</v>
      </c>
    </row>
    <row r="63" spans="6:13" x14ac:dyDescent="0.3">
      <c r="F63" t="s">
        <v>148</v>
      </c>
      <c r="G63">
        <v>0</v>
      </c>
    </row>
    <row r="64" spans="6:13" x14ac:dyDescent="0.3">
      <c r="F64" t="s">
        <v>154</v>
      </c>
      <c r="G64">
        <v>0</v>
      </c>
    </row>
    <row r="65" spans="6:7" x14ac:dyDescent="0.3">
      <c r="F65" t="s">
        <v>168</v>
      </c>
      <c r="G65">
        <v>0</v>
      </c>
    </row>
    <row r="66" spans="6:7" x14ac:dyDescent="0.3">
      <c r="F66" t="s">
        <v>160</v>
      </c>
      <c r="G66">
        <v>0</v>
      </c>
    </row>
    <row r="67" spans="6:7" x14ac:dyDescent="0.3">
      <c r="F67" t="s">
        <v>161</v>
      </c>
      <c r="G67">
        <v>0</v>
      </c>
    </row>
    <row r="68" spans="6:7" x14ac:dyDescent="0.3">
      <c r="F68" t="s">
        <v>169</v>
      </c>
      <c r="G68">
        <v>0</v>
      </c>
    </row>
  </sheetData>
  <sheetProtection algorithmName="SHA-512" hashValue="KyYwoRip90uy48ReXr31+fZhcSK5THPGRhsG6Wo7uhaVDkQp53i0slT1lDQ/lNKUwDqlE0mnncmofn4rvwz7xg==" saltValue="d6KhydncTdL7y/aXkRb0fA==" spinCount="100000" sheet="1" objects="1" scenarios="1"/>
  <mergeCells count="3">
    <mergeCell ref="B2:D2"/>
    <mergeCell ref="B4:D4"/>
    <mergeCell ref="N8:P8"/>
  </mergeCells>
  <dataValidations xWindow="397" yWindow="870" count="12">
    <dataValidation type="custom" allowBlank="1" showInputMessage="1" showErrorMessage="1" errorTitle="Nepovolená výška úveru!" error="maximálna výška úveru:_x000a_- pri hypotéke pre mladých = 50 000 €_x000a_- pri neúčelovej hypotéke = 165 000 €" sqref="C9" xr:uid="{00000000-0002-0000-0000-000000000000}">
      <formula1>IF(C7="hypotéka pre mladých",C9&lt;=50000,IF(C7="neúčelová (americká) hypotéka",C9&lt;=165000,IF(C7="účelová hypotéka",C9&gt;=0,"ine")))</formula1>
    </dataValidation>
    <dataValidation type="custom" allowBlank="1" showInputMessage="1" showErrorMessage="1" errorTitle="Nepovolená hodnota nehnuteľnosti" error="hodnota nehnuteľnosti musí byť vyššia ako výška úveru" sqref="C13" xr:uid="{00000000-0002-0000-0000-000001000000}">
      <formula1>C13&gt;=C9</formula1>
    </dataValidation>
    <dataValidation type="custom" errorStyle="warning" allowBlank="1" showInputMessage="1" showErrorMessage="1" errorTitle="Nepovolený vek!" error="vek žiadateľa ku dňu konečnej splatnosti nesmie prekročiť 65 rokov" sqref="C19" xr:uid="{00000000-0002-0000-0000-000002000000}">
      <formula1>IF(ROUNDUP((TODAY()+C10*31-C19)/365,0)&lt;=65,TRUE,FALSE)</formula1>
    </dataValidation>
    <dataValidation type="list" allowBlank="1" showInputMessage="1" showErrorMessage="1" sqref="C27:C29" xr:uid="{00000000-0002-0000-0000-000003000000}">
      <formula1>$F$40:$F$41</formula1>
    </dataValidation>
    <dataValidation type="custom" allowBlank="1" showInputMessage="1" showErrorMessage="1" sqref="N13" xr:uid="{00000000-0002-0000-0000-000005000000}">
      <formula1>N13&lt;=360</formula1>
    </dataValidation>
    <dataValidation type="custom" errorStyle="information" allowBlank="1" showInputMessage="1" showErrorMessage="1" errorTitle="Doba splatnosti" error="doba splatnosti je max. 360 mesiacov" sqref="C10" xr:uid="{00000000-0002-0000-0000-000006000000}">
      <formula1>C10&lt;=360</formula1>
    </dataValidation>
    <dataValidation type="custom" errorStyle="warning" allowBlank="1" showInputMessage="1" showErrorMessage="1" errorTitle="drzhdr" error="drzdrzdrdr" sqref="S3" xr:uid="{00000000-0002-0000-0000-000007000000}">
      <formula1>S3&gt;100000</formula1>
    </dataValidation>
    <dataValidation type="list" allowBlank="1" showInputMessage="1" showErrorMessage="1" sqref="C8" xr:uid="{00000000-0002-0000-0000-000008000000}">
      <formula1>$L$17:$L$24</formula1>
    </dataValidation>
    <dataValidation type="list" allowBlank="1" showInputMessage="1" showErrorMessage="1" promptTitle="Prémiový klient vs. HUM" prompt="V prípade HUM nie je možné poskytnúť zľavu z ú.s. na prémiového klienta" sqref="C30" xr:uid="{00000000-0002-0000-0000-000009000000}">
      <formula1>$F$40:$F$41</formula1>
    </dataValidation>
    <dataValidation type="list" allowBlank="1" showInputMessage="1" showErrorMessage="1" sqref="C7" xr:uid="{00000000-0002-0000-0000-00000A000000}">
      <formula1>$F$34:$F$35</formula1>
    </dataValidation>
    <dataValidation type="list" allowBlank="1" showInputMessage="1" showErrorMessage="1" sqref="F6" xr:uid="{00000000-0002-0000-0000-00000B000000}">
      <formula1>"aaa,bbb"</formula1>
    </dataValidation>
    <dataValidation type="list" allowBlank="1" showInputMessage="1" showErrorMessage="1" sqref="C12" xr:uid="{00000000-0002-0000-0000-000004000000}">
      <formula1>$F$20:$F$26</formula1>
    </dataValidation>
  </dataValidations>
  <pageMargins left="0.7" right="0.7" top="0.75" bottom="0.75" header="0.3" footer="0.3"/>
  <pageSetup paperSize="9" orientation="portrait"/>
  <headerFooter>
    <oddHeader>&amp;C&amp;"Calibri"&amp;10&amp;K000000Public&amp;1#</oddHead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X51"/>
  <sheetViews>
    <sheetView showGridLines="0" workbookViewId="0">
      <selection activeCell="C41" sqref="C41"/>
    </sheetView>
  </sheetViews>
  <sheetFormatPr defaultRowHeight="15" customHeight="1" x14ac:dyDescent="0.3"/>
  <cols>
    <col min="1" max="1" width="4" style="22" customWidth="1"/>
    <col min="2" max="2" width="30.6640625" style="22" customWidth="1"/>
    <col min="3" max="3" width="12.6640625" style="22" customWidth="1"/>
    <col min="4" max="4" width="9.109375" style="22"/>
    <col min="5" max="5" width="11.5546875" style="22" customWidth="1"/>
    <col min="6" max="8" width="9.109375" style="22" customWidth="1"/>
    <col min="9" max="11" width="9.109375" style="24" customWidth="1"/>
    <col min="12" max="23" width="9.109375" style="24" hidden="1" customWidth="1"/>
    <col min="24" max="24" width="9.109375" style="24" customWidth="1"/>
    <col min="25" max="25" width="9.109375" style="22" customWidth="1"/>
    <col min="26" max="257" width="9.109375" style="22"/>
    <col min="258" max="258" width="30.6640625" style="22" customWidth="1"/>
    <col min="259" max="259" width="12.6640625" style="22" customWidth="1"/>
    <col min="260" max="262" width="9.109375" style="22"/>
    <col min="263" max="275" width="9.109375" style="22" customWidth="1"/>
    <col min="276" max="513" width="9.109375" style="22"/>
    <col min="514" max="514" width="30.6640625" style="22" customWidth="1"/>
    <col min="515" max="515" width="12.6640625" style="22" customWidth="1"/>
    <col min="516" max="518" width="9.109375" style="22"/>
    <col min="519" max="531" width="9.109375" style="22" customWidth="1"/>
    <col min="532" max="769" width="9.109375" style="22"/>
    <col min="770" max="770" width="30.6640625" style="22" customWidth="1"/>
    <col min="771" max="771" width="12.6640625" style="22" customWidth="1"/>
    <col min="772" max="774" width="9.109375" style="22"/>
    <col min="775" max="787" width="9.109375" style="22" customWidth="1"/>
    <col min="788" max="1025" width="9.109375" style="22"/>
    <col min="1026" max="1026" width="30.6640625" style="22" customWidth="1"/>
    <col min="1027" max="1027" width="12.6640625" style="22" customWidth="1"/>
    <col min="1028" max="1030" width="9.109375" style="22"/>
    <col min="1031" max="1043" width="9.109375" style="22" customWidth="1"/>
    <col min="1044" max="1281" width="9.109375" style="22"/>
    <col min="1282" max="1282" width="30.6640625" style="22" customWidth="1"/>
    <col min="1283" max="1283" width="12.6640625" style="22" customWidth="1"/>
    <col min="1284" max="1286" width="9.109375" style="22"/>
    <col min="1287" max="1299" width="9.109375" style="22" customWidth="1"/>
    <col min="1300" max="1537" width="9.109375" style="22"/>
    <col min="1538" max="1538" width="30.6640625" style="22" customWidth="1"/>
    <col min="1539" max="1539" width="12.6640625" style="22" customWidth="1"/>
    <col min="1540" max="1542" width="9.109375" style="22"/>
    <col min="1543" max="1555" width="9.109375" style="22" customWidth="1"/>
    <col min="1556" max="1793" width="9.109375" style="22"/>
    <col min="1794" max="1794" width="30.6640625" style="22" customWidth="1"/>
    <col min="1795" max="1795" width="12.6640625" style="22" customWidth="1"/>
    <col min="1796" max="1798" width="9.109375" style="22"/>
    <col min="1799" max="1811" width="9.109375" style="22" customWidth="1"/>
    <col min="1812" max="2049" width="9.109375" style="22"/>
    <col min="2050" max="2050" width="30.6640625" style="22" customWidth="1"/>
    <col min="2051" max="2051" width="12.6640625" style="22" customWidth="1"/>
    <col min="2052" max="2054" width="9.109375" style="22"/>
    <col min="2055" max="2067" width="9.109375" style="22" customWidth="1"/>
    <col min="2068" max="2305" width="9.109375" style="22"/>
    <col min="2306" max="2306" width="30.6640625" style="22" customWidth="1"/>
    <col min="2307" max="2307" width="12.6640625" style="22" customWidth="1"/>
    <col min="2308" max="2310" width="9.109375" style="22"/>
    <col min="2311" max="2323" width="9.109375" style="22" customWidth="1"/>
    <col min="2324" max="2561" width="9.109375" style="22"/>
    <col min="2562" max="2562" width="30.6640625" style="22" customWidth="1"/>
    <col min="2563" max="2563" width="12.6640625" style="22" customWidth="1"/>
    <col min="2564" max="2566" width="9.109375" style="22"/>
    <col min="2567" max="2579" width="9.109375" style="22" customWidth="1"/>
    <col min="2580" max="2817" width="9.109375" style="22"/>
    <col min="2818" max="2818" width="30.6640625" style="22" customWidth="1"/>
    <col min="2819" max="2819" width="12.6640625" style="22" customWidth="1"/>
    <col min="2820" max="2822" width="9.109375" style="22"/>
    <col min="2823" max="2835" width="9.109375" style="22" customWidth="1"/>
    <col min="2836" max="3073" width="9.109375" style="22"/>
    <col min="3074" max="3074" width="30.6640625" style="22" customWidth="1"/>
    <col min="3075" max="3075" width="12.6640625" style="22" customWidth="1"/>
    <col min="3076" max="3078" width="9.109375" style="22"/>
    <col min="3079" max="3091" width="9.109375" style="22" customWidth="1"/>
    <col min="3092" max="3329" width="9.109375" style="22"/>
    <col min="3330" max="3330" width="30.6640625" style="22" customWidth="1"/>
    <col min="3331" max="3331" width="12.6640625" style="22" customWidth="1"/>
    <col min="3332" max="3334" width="9.109375" style="22"/>
    <col min="3335" max="3347" width="9.109375" style="22" customWidth="1"/>
    <col min="3348" max="3585" width="9.109375" style="22"/>
    <col min="3586" max="3586" width="30.6640625" style="22" customWidth="1"/>
    <col min="3587" max="3587" width="12.6640625" style="22" customWidth="1"/>
    <col min="3588" max="3590" width="9.109375" style="22"/>
    <col min="3591" max="3603" width="9.109375" style="22" customWidth="1"/>
    <col min="3604" max="3841" width="9.109375" style="22"/>
    <col min="3842" max="3842" width="30.6640625" style="22" customWidth="1"/>
    <col min="3843" max="3843" width="12.6640625" style="22" customWidth="1"/>
    <col min="3844" max="3846" width="9.109375" style="22"/>
    <col min="3847" max="3859" width="9.109375" style="22" customWidth="1"/>
    <col min="3860" max="4097" width="9.109375" style="22"/>
    <col min="4098" max="4098" width="30.6640625" style="22" customWidth="1"/>
    <col min="4099" max="4099" width="12.6640625" style="22" customWidth="1"/>
    <col min="4100" max="4102" width="9.109375" style="22"/>
    <col min="4103" max="4115" width="9.109375" style="22" customWidth="1"/>
    <col min="4116" max="4353" width="9.109375" style="22"/>
    <col min="4354" max="4354" width="30.6640625" style="22" customWidth="1"/>
    <col min="4355" max="4355" width="12.6640625" style="22" customWidth="1"/>
    <col min="4356" max="4358" width="9.109375" style="22"/>
    <col min="4359" max="4371" width="9.109375" style="22" customWidth="1"/>
    <col min="4372" max="4609" width="9.109375" style="22"/>
    <col min="4610" max="4610" width="30.6640625" style="22" customWidth="1"/>
    <col min="4611" max="4611" width="12.6640625" style="22" customWidth="1"/>
    <col min="4612" max="4614" width="9.109375" style="22"/>
    <col min="4615" max="4627" width="9.109375" style="22" customWidth="1"/>
    <col min="4628" max="4865" width="9.109375" style="22"/>
    <col min="4866" max="4866" width="30.6640625" style="22" customWidth="1"/>
    <col min="4867" max="4867" width="12.6640625" style="22" customWidth="1"/>
    <col min="4868" max="4870" width="9.109375" style="22"/>
    <col min="4871" max="4883" width="9.109375" style="22" customWidth="1"/>
    <col min="4884" max="5121" width="9.109375" style="22"/>
    <col min="5122" max="5122" width="30.6640625" style="22" customWidth="1"/>
    <col min="5123" max="5123" width="12.6640625" style="22" customWidth="1"/>
    <col min="5124" max="5126" width="9.109375" style="22"/>
    <col min="5127" max="5139" width="9.109375" style="22" customWidth="1"/>
    <col min="5140" max="5377" width="9.109375" style="22"/>
    <col min="5378" max="5378" width="30.6640625" style="22" customWidth="1"/>
    <col min="5379" max="5379" width="12.6640625" style="22" customWidth="1"/>
    <col min="5380" max="5382" width="9.109375" style="22"/>
    <col min="5383" max="5395" width="9.109375" style="22" customWidth="1"/>
    <col min="5396" max="5633" width="9.109375" style="22"/>
    <col min="5634" max="5634" width="30.6640625" style="22" customWidth="1"/>
    <col min="5635" max="5635" width="12.6640625" style="22" customWidth="1"/>
    <col min="5636" max="5638" width="9.109375" style="22"/>
    <col min="5639" max="5651" width="9.109375" style="22" customWidth="1"/>
    <col min="5652" max="5889" width="9.109375" style="22"/>
    <col min="5890" max="5890" width="30.6640625" style="22" customWidth="1"/>
    <col min="5891" max="5891" width="12.6640625" style="22" customWidth="1"/>
    <col min="5892" max="5894" width="9.109375" style="22"/>
    <col min="5895" max="5907" width="9.109375" style="22" customWidth="1"/>
    <col min="5908" max="6145" width="9.109375" style="22"/>
    <col min="6146" max="6146" width="30.6640625" style="22" customWidth="1"/>
    <col min="6147" max="6147" width="12.6640625" style="22" customWidth="1"/>
    <col min="6148" max="6150" width="9.109375" style="22"/>
    <col min="6151" max="6163" width="9.109375" style="22" customWidth="1"/>
    <col min="6164" max="6401" width="9.109375" style="22"/>
    <col min="6402" max="6402" width="30.6640625" style="22" customWidth="1"/>
    <col min="6403" max="6403" width="12.6640625" style="22" customWidth="1"/>
    <col min="6404" max="6406" width="9.109375" style="22"/>
    <col min="6407" max="6419" width="9.109375" style="22" customWidth="1"/>
    <col min="6420" max="6657" width="9.109375" style="22"/>
    <col min="6658" max="6658" width="30.6640625" style="22" customWidth="1"/>
    <col min="6659" max="6659" width="12.6640625" style="22" customWidth="1"/>
    <col min="6660" max="6662" width="9.109375" style="22"/>
    <col min="6663" max="6675" width="9.109375" style="22" customWidth="1"/>
    <col min="6676" max="6913" width="9.109375" style="22"/>
    <col min="6914" max="6914" width="30.6640625" style="22" customWidth="1"/>
    <col min="6915" max="6915" width="12.6640625" style="22" customWidth="1"/>
    <col min="6916" max="6918" width="9.109375" style="22"/>
    <col min="6919" max="6931" width="9.109375" style="22" customWidth="1"/>
    <col min="6932" max="7169" width="9.109375" style="22"/>
    <col min="7170" max="7170" width="30.6640625" style="22" customWidth="1"/>
    <col min="7171" max="7171" width="12.6640625" style="22" customWidth="1"/>
    <col min="7172" max="7174" width="9.109375" style="22"/>
    <col min="7175" max="7187" width="9.109375" style="22" customWidth="1"/>
    <col min="7188" max="7425" width="9.109375" style="22"/>
    <col min="7426" max="7426" width="30.6640625" style="22" customWidth="1"/>
    <col min="7427" max="7427" width="12.6640625" style="22" customWidth="1"/>
    <col min="7428" max="7430" width="9.109375" style="22"/>
    <col min="7431" max="7443" width="9.109375" style="22" customWidth="1"/>
    <col min="7444" max="7681" width="9.109375" style="22"/>
    <col min="7682" max="7682" width="30.6640625" style="22" customWidth="1"/>
    <col min="7683" max="7683" width="12.6640625" style="22" customWidth="1"/>
    <col min="7684" max="7686" width="9.109375" style="22"/>
    <col min="7687" max="7699" width="9.109375" style="22" customWidth="1"/>
    <col min="7700" max="7937" width="9.109375" style="22"/>
    <col min="7938" max="7938" width="30.6640625" style="22" customWidth="1"/>
    <col min="7939" max="7939" width="12.6640625" style="22" customWidth="1"/>
    <col min="7940" max="7942" width="9.109375" style="22"/>
    <col min="7943" max="7955" width="9.109375" style="22" customWidth="1"/>
    <col min="7956" max="8193" width="9.109375" style="22"/>
    <col min="8194" max="8194" width="30.6640625" style="22" customWidth="1"/>
    <col min="8195" max="8195" width="12.6640625" style="22" customWidth="1"/>
    <col min="8196" max="8198" width="9.109375" style="22"/>
    <col min="8199" max="8211" width="9.109375" style="22" customWidth="1"/>
    <col min="8212" max="8449" width="9.109375" style="22"/>
    <col min="8450" max="8450" width="30.6640625" style="22" customWidth="1"/>
    <col min="8451" max="8451" width="12.6640625" style="22" customWidth="1"/>
    <col min="8452" max="8454" width="9.109375" style="22"/>
    <col min="8455" max="8467" width="9.109375" style="22" customWidth="1"/>
    <col min="8468" max="8705" width="9.109375" style="22"/>
    <col min="8706" max="8706" width="30.6640625" style="22" customWidth="1"/>
    <col min="8707" max="8707" width="12.6640625" style="22" customWidth="1"/>
    <col min="8708" max="8710" width="9.109375" style="22"/>
    <col min="8711" max="8723" width="9.109375" style="22" customWidth="1"/>
    <col min="8724" max="8961" width="9.109375" style="22"/>
    <col min="8962" max="8962" width="30.6640625" style="22" customWidth="1"/>
    <col min="8963" max="8963" width="12.6640625" style="22" customWidth="1"/>
    <col min="8964" max="8966" width="9.109375" style="22"/>
    <col min="8967" max="8979" width="9.109375" style="22" customWidth="1"/>
    <col min="8980" max="9217" width="9.109375" style="22"/>
    <col min="9218" max="9218" width="30.6640625" style="22" customWidth="1"/>
    <col min="9219" max="9219" width="12.6640625" style="22" customWidth="1"/>
    <col min="9220" max="9222" width="9.109375" style="22"/>
    <col min="9223" max="9235" width="9.109375" style="22" customWidth="1"/>
    <col min="9236" max="9473" width="9.109375" style="22"/>
    <col min="9474" max="9474" width="30.6640625" style="22" customWidth="1"/>
    <col min="9475" max="9475" width="12.6640625" style="22" customWidth="1"/>
    <col min="9476" max="9478" width="9.109375" style="22"/>
    <col min="9479" max="9491" width="9.109375" style="22" customWidth="1"/>
    <col min="9492" max="9729" width="9.109375" style="22"/>
    <col min="9730" max="9730" width="30.6640625" style="22" customWidth="1"/>
    <col min="9731" max="9731" width="12.6640625" style="22" customWidth="1"/>
    <col min="9732" max="9734" width="9.109375" style="22"/>
    <col min="9735" max="9747" width="9.109375" style="22" customWidth="1"/>
    <col min="9748" max="9985" width="9.109375" style="22"/>
    <col min="9986" max="9986" width="30.6640625" style="22" customWidth="1"/>
    <col min="9987" max="9987" width="12.6640625" style="22" customWidth="1"/>
    <col min="9988" max="9990" width="9.109375" style="22"/>
    <col min="9991" max="10003" width="9.109375" style="22" customWidth="1"/>
    <col min="10004" max="10241" width="9.109375" style="22"/>
    <col min="10242" max="10242" width="30.6640625" style="22" customWidth="1"/>
    <col min="10243" max="10243" width="12.6640625" style="22" customWidth="1"/>
    <col min="10244" max="10246" width="9.109375" style="22"/>
    <col min="10247" max="10259" width="9.109375" style="22" customWidth="1"/>
    <col min="10260" max="10497" width="9.109375" style="22"/>
    <col min="10498" max="10498" width="30.6640625" style="22" customWidth="1"/>
    <col min="10499" max="10499" width="12.6640625" style="22" customWidth="1"/>
    <col min="10500" max="10502" width="9.109375" style="22"/>
    <col min="10503" max="10515" width="9.109375" style="22" customWidth="1"/>
    <col min="10516" max="10753" width="9.109375" style="22"/>
    <col min="10754" max="10754" width="30.6640625" style="22" customWidth="1"/>
    <col min="10755" max="10755" width="12.6640625" style="22" customWidth="1"/>
    <col min="10756" max="10758" width="9.109375" style="22"/>
    <col min="10759" max="10771" width="9.109375" style="22" customWidth="1"/>
    <col min="10772" max="11009" width="9.109375" style="22"/>
    <col min="11010" max="11010" width="30.6640625" style="22" customWidth="1"/>
    <col min="11011" max="11011" width="12.6640625" style="22" customWidth="1"/>
    <col min="11012" max="11014" width="9.109375" style="22"/>
    <col min="11015" max="11027" width="9.109375" style="22" customWidth="1"/>
    <col min="11028" max="11265" width="9.109375" style="22"/>
    <col min="11266" max="11266" width="30.6640625" style="22" customWidth="1"/>
    <col min="11267" max="11267" width="12.6640625" style="22" customWidth="1"/>
    <col min="11268" max="11270" width="9.109375" style="22"/>
    <col min="11271" max="11283" width="9.109375" style="22" customWidth="1"/>
    <col min="11284" max="11521" width="9.109375" style="22"/>
    <col min="11522" max="11522" width="30.6640625" style="22" customWidth="1"/>
    <col min="11523" max="11523" width="12.6640625" style="22" customWidth="1"/>
    <col min="11524" max="11526" width="9.109375" style="22"/>
    <col min="11527" max="11539" width="9.109375" style="22" customWidth="1"/>
    <col min="11540" max="11777" width="9.109375" style="22"/>
    <col min="11778" max="11778" width="30.6640625" style="22" customWidth="1"/>
    <col min="11779" max="11779" width="12.6640625" style="22" customWidth="1"/>
    <col min="11780" max="11782" width="9.109375" style="22"/>
    <col min="11783" max="11795" width="9.109375" style="22" customWidth="1"/>
    <col min="11796" max="12033" width="9.109375" style="22"/>
    <col min="12034" max="12034" width="30.6640625" style="22" customWidth="1"/>
    <col min="12035" max="12035" width="12.6640625" style="22" customWidth="1"/>
    <col min="12036" max="12038" width="9.109375" style="22"/>
    <col min="12039" max="12051" width="9.109375" style="22" customWidth="1"/>
    <col min="12052" max="12289" width="9.109375" style="22"/>
    <col min="12290" max="12290" width="30.6640625" style="22" customWidth="1"/>
    <col min="12291" max="12291" width="12.6640625" style="22" customWidth="1"/>
    <col min="12292" max="12294" width="9.109375" style="22"/>
    <col min="12295" max="12307" width="9.109375" style="22" customWidth="1"/>
    <col min="12308" max="12545" width="9.109375" style="22"/>
    <col min="12546" max="12546" width="30.6640625" style="22" customWidth="1"/>
    <col min="12547" max="12547" width="12.6640625" style="22" customWidth="1"/>
    <col min="12548" max="12550" width="9.109375" style="22"/>
    <col min="12551" max="12563" width="9.109375" style="22" customWidth="1"/>
    <col min="12564" max="12801" width="9.109375" style="22"/>
    <col min="12802" max="12802" width="30.6640625" style="22" customWidth="1"/>
    <col min="12803" max="12803" width="12.6640625" style="22" customWidth="1"/>
    <col min="12804" max="12806" width="9.109375" style="22"/>
    <col min="12807" max="12819" width="9.109375" style="22" customWidth="1"/>
    <col min="12820" max="13057" width="9.109375" style="22"/>
    <col min="13058" max="13058" width="30.6640625" style="22" customWidth="1"/>
    <col min="13059" max="13059" width="12.6640625" style="22" customWidth="1"/>
    <col min="13060" max="13062" width="9.109375" style="22"/>
    <col min="13063" max="13075" width="9.109375" style="22" customWidth="1"/>
    <col min="13076" max="13313" width="9.109375" style="22"/>
    <col min="13314" max="13314" width="30.6640625" style="22" customWidth="1"/>
    <col min="13315" max="13315" width="12.6640625" style="22" customWidth="1"/>
    <col min="13316" max="13318" width="9.109375" style="22"/>
    <col min="13319" max="13331" width="9.109375" style="22" customWidth="1"/>
    <col min="13332" max="13569" width="9.109375" style="22"/>
    <col min="13570" max="13570" width="30.6640625" style="22" customWidth="1"/>
    <col min="13571" max="13571" width="12.6640625" style="22" customWidth="1"/>
    <col min="13572" max="13574" width="9.109375" style="22"/>
    <col min="13575" max="13587" width="9.109375" style="22" customWidth="1"/>
    <col min="13588" max="13825" width="9.109375" style="22"/>
    <col min="13826" max="13826" width="30.6640625" style="22" customWidth="1"/>
    <col min="13827" max="13827" width="12.6640625" style="22" customWidth="1"/>
    <col min="13828" max="13830" width="9.109375" style="22"/>
    <col min="13831" max="13843" width="9.109375" style="22" customWidth="1"/>
    <col min="13844" max="14081" width="9.109375" style="22"/>
    <col min="14082" max="14082" width="30.6640625" style="22" customWidth="1"/>
    <col min="14083" max="14083" width="12.6640625" style="22" customWidth="1"/>
    <col min="14084" max="14086" width="9.109375" style="22"/>
    <col min="14087" max="14099" width="9.109375" style="22" customWidth="1"/>
    <col min="14100" max="14337" width="9.109375" style="22"/>
    <col min="14338" max="14338" width="30.6640625" style="22" customWidth="1"/>
    <col min="14339" max="14339" width="12.6640625" style="22" customWidth="1"/>
    <col min="14340" max="14342" width="9.109375" style="22"/>
    <col min="14343" max="14355" width="9.109375" style="22" customWidth="1"/>
    <col min="14356" max="14593" width="9.109375" style="22"/>
    <col min="14594" max="14594" width="30.6640625" style="22" customWidth="1"/>
    <col min="14595" max="14595" width="12.6640625" style="22" customWidth="1"/>
    <col min="14596" max="14598" width="9.109375" style="22"/>
    <col min="14599" max="14611" width="9.109375" style="22" customWidth="1"/>
    <col min="14612" max="14849" width="9.109375" style="22"/>
    <col min="14850" max="14850" width="30.6640625" style="22" customWidth="1"/>
    <col min="14851" max="14851" width="12.6640625" style="22" customWidth="1"/>
    <col min="14852" max="14854" width="9.109375" style="22"/>
    <col min="14855" max="14867" width="9.109375" style="22" customWidth="1"/>
    <col min="14868" max="15105" width="9.109375" style="22"/>
    <col min="15106" max="15106" width="30.6640625" style="22" customWidth="1"/>
    <col min="15107" max="15107" width="12.6640625" style="22" customWidth="1"/>
    <col min="15108" max="15110" width="9.109375" style="22"/>
    <col min="15111" max="15123" width="9.109375" style="22" customWidth="1"/>
    <col min="15124" max="15361" width="9.109375" style="22"/>
    <col min="15362" max="15362" width="30.6640625" style="22" customWidth="1"/>
    <col min="15363" max="15363" width="12.6640625" style="22" customWidth="1"/>
    <col min="15364" max="15366" width="9.109375" style="22"/>
    <col min="15367" max="15379" width="9.109375" style="22" customWidth="1"/>
    <col min="15380" max="15617" width="9.109375" style="22"/>
    <col min="15618" max="15618" width="30.6640625" style="22" customWidth="1"/>
    <col min="15619" max="15619" width="12.6640625" style="22" customWidth="1"/>
    <col min="15620" max="15622" width="9.109375" style="22"/>
    <col min="15623" max="15635" width="9.109375" style="22" customWidth="1"/>
    <col min="15636" max="15873" width="9.109375" style="22"/>
    <col min="15874" max="15874" width="30.6640625" style="22" customWidth="1"/>
    <col min="15875" max="15875" width="12.6640625" style="22" customWidth="1"/>
    <col min="15876" max="15878" width="9.109375" style="22"/>
    <col min="15879" max="15891" width="9.109375" style="22" customWidth="1"/>
    <col min="15892" max="16129" width="9.109375" style="22"/>
    <col min="16130" max="16130" width="30.6640625" style="22" customWidth="1"/>
    <col min="16131" max="16131" width="12.6640625" style="22" customWidth="1"/>
    <col min="16132" max="16134" width="9.109375" style="22"/>
    <col min="16135" max="16147" width="9.109375" style="22" customWidth="1"/>
    <col min="16148" max="16384" width="9.109375" style="22"/>
  </cols>
  <sheetData>
    <row r="2" spans="1:18" s="24" customFormat="1" ht="15" customHeight="1" x14ac:dyDescent="0.3">
      <c r="A2" s="22"/>
      <c r="B2" s="94" t="s">
        <v>63</v>
      </c>
      <c r="C2" s="94"/>
      <c r="D2" s="94"/>
      <c r="E2" s="23"/>
      <c r="F2" s="23"/>
      <c r="G2" s="22"/>
      <c r="H2" s="22"/>
    </row>
    <row r="4" spans="1:18" s="24" customFormat="1" ht="15" customHeight="1" x14ac:dyDescent="0.3">
      <c r="A4" s="22"/>
      <c r="B4" s="22" t="s">
        <v>64</v>
      </c>
      <c r="C4" s="22"/>
      <c r="D4" s="22"/>
      <c r="E4" s="22"/>
      <c r="F4" s="22"/>
      <c r="G4" s="22"/>
      <c r="H4" s="22"/>
    </row>
    <row r="5" spans="1:18" s="24" customFormat="1" ht="15" customHeight="1" x14ac:dyDescent="0.3">
      <c r="A5" s="22"/>
      <c r="B5" s="22" t="s">
        <v>65</v>
      </c>
      <c r="C5" s="22"/>
      <c r="D5" s="22"/>
      <c r="E5" s="22"/>
      <c r="F5" s="22"/>
      <c r="G5" s="22"/>
      <c r="H5" s="22"/>
    </row>
    <row r="6" spans="1:18" s="24" customFormat="1" ht="15" customHeight="1" x14ac:dyDescent="0.3">
      <c r="A6" s="22"/>
      <c r="B6" s="22" t="s">
        <v>91</v>
      </c>
      <c r="C6" s="22"/>
      <c r="D6" s="22"/>
      <c r="E6" s="22"/>
      <c r="F6" s="22"/>
      <c r="G6" s="22"/>
      <c r="H6" s="22"/>
    </row>
    <row r="7" spans="1:18" s="24" customFormat="1" ht="15" customHeight="1" x14ac:dyDescent="0.3">
      <c r="A7" s="22"/>
      <c r="B7" s="22" t="s">
        <v>92</v>
      </c>
      <c r="C7" s="22"/>
      <c r="D7" s="22"/>
      <c r="E7" s="22"/>
      <c r="F7" s="22"/>
      <c r="G7" s="22"/>
      <c r="H7" s="22"/>
    </row>
    <row r="8" spans="1:18" s="24" customFormat="1" ht="15" customHeight="1" thickBot="1" x14ac:dyDescent="0.35">
      <c r="A8" s="22"/>
      <c r="B8" s="22"/>
      <c r="C8" s="22"/>
      <c r="D8" s="22"/>
      <c r="E8" s="22"/>
      <c r="F8" s="22"/>
      <c r="G8" s="22"/>
      <c r="H8" s="22"/>
    </row>
    <row r="9" spans="1:18" s="24" customFormat="1" ht="15" customHeight="1" thickTop="1" thickBot="1" x14ac:dyDescent="0.35">
      <c r="A9" s="22"/>
      <c r="B9" s="44" t="s">
        <v>66</v>
      </c>
      <c r="C9" s="41">
        <f>Ponuka!C9</f>
        <v>70000</v>
      </c>
    </row>
    <row r="10" spans="1:18" s="24" customFormat="1" ht="15" customHeight="1" thickTop="1" thickBot="1" x14ac:dyDescent="0.35">
      <c r="A10" s="22"/>
      <c r="B10" s="44" t="s">
        <v>43</v>
      </c>
      <c r="C10" s="42">
        <f>Ponuka!C33/100</f>
        <v>1.09E-2</v>
      </c>
    </row>
    <row r="11" spans="1:18" s="24" customFormat="1" ht="15" customHeight="1" thickTop="1" thickBot="1" x14ac:dyDescent="0.35">
      <c r="A11" s="22"/>
      <c r="B11" s="44" t="s">
        <v>67</v>
      </c>
      <c r="C11" s="43">
        <f>Ponuka!C10</f>
        <v>360</v>
      </c>
      <c r="D11" s="22" t="s">
        <v>62</v>
      </c>
    </row>
    <row r="12" spans="1:18" s="24" customFormat="1" ht="15" customHeight="1" thickTop="1" thickBot="1" x14ac:dyDescent="0.35">
      <c r="A12" s="22"/>
      <c r="B12" s="44" t="s">
        <v>44</v>
      </c>
      <c r="C12" s="60">
        <f>-PMT(C10/12,C11,C9,0,0)</f>
        <v>228.05319152336625</v>
      </c>
      <c r="G12" s="22"/>
      <c r="H12" s="22"/>
    </row>
    <row r="13" spans="1:18" s="24" customFormat="1" ht="15" customHeight="1" thickTop="1" thickBot="1" x14ac:dyDescent="0.35">
      <c r="A13" s="22"/>
      <c r="B13" s="45"/>
      <c r="C13" s="22"/>
      <c r="D13" s="22"/>
      <c r="E13" s="22"/>
      <c r="F13" s="25"/>
      <c r="G13" s="22"/>
      <c r="H13" s="22"/>
      <c r="O13" s="24">
        <f>C11/12</f>
        <v>30</v>
      </c>
    </row>
    <row r="14" spans="1:18" s="24" customFormat="1" ht="15" customHeight="1" thickTop="1" thickBot="1" x14ac:dyDescent="0.35">
      <c r="A14" s="22"/>
      <c r="B14" s="53" t="s">
        <v>68</v>
      </c>
      <c r="C14" s="57">
        <v>500</v>
      </c>
      <c r="D14" s="26" t="s">
        <v>69</v>
      </c>
      <c r="E14" s="59">
        <v>50</v>
      </c>
      <c r="H14" s="22"/>
      <c r="O14" s="24">
        <f>ROUNDDOWN(O13,0)</f>
        <v>30</v>
      </c>
      <c r="P14" s="24" t="s">
        <v>60</v>
      </c>
      <c r="Q14" s="24" t="str">
        <f>CONCATENATE(O14," ",P14)</f>
        <v>30 rokov</v>
      </c>
    </row>
    <row r="15" spans="1:18" s="24" customFormat="1" ht="15" customHeight="1" thickTop="1" thickBot="1" x14ac:dyDescent="0.35">
      <c r="A15" s="22"/>
      <c r="B15" s="46"/>
      <c r="C15" s="22"/>
      <c r="D15" s="26" t="s">
        <v>70</v>
      </c>
      <c r="E15" s="59">
        <f>IF(1.5%*C9&lt;200,200,1.5%*C9)</f>
        <v>1050</v>
      </c>
      <c r="F15" s="22"/>
      <c r="G15" s="22"/>
      <c r="H15" s="22"/>
      <c r="O15" s="24">
        <f>ROUND((O13-O14)*12,0)</f>
        <v>0</v>
      </c>
      <c r="P15" s="24" t="s">
        <v>62</v>
      </c>
      <c r="Q15" s="24" t="str">
        <f>IF(O15=0," ",R15)</f>
        <v xml:space="preserve"> </v>
      </c>
      <c r="R15" s="24" t="str">
        <f>CONCATENATE(O15," ",P15)</f>
        <v>0 mesiacov</v>
      </c>
    </row>
    <row r="16" spans="1:18" s="24" customFormat="1" ht="15" customHeight="1" thickTop="1" thickBot="1" x14ac:dyDescent="0.35">
      <c r="A16" s="22"/>
      <c r="B16" s="54" t="s">
        <v>71</v>
      </c>
      <c r="C16" s="27"/>
      <c r="D16" s="22"/>
      <c r="E16" s="22"/>
      <c r="F16" s="22"/>
      <c r="G16" s="22"/>
      <c r="H16" s="22"/>
    </row>
    <row r="17" spans="1:18" s="24" customFormat="1" ht="15" customHeight="1" thickTop="1" thickBot="1" x14ac:dyDescent="0.35">
      <c r="A17" s="22"/>
      <c r="B17" s="55" t="s">
        <v>72</v>
      </c>
      <c r="C17" s="58">
        <v>4</v>
      </c>
      <c r="D17" s="28" t="s">
        <v>73</v>
      </c>
      <c r="E17" s="40" t="s">
        <v>74</v>
      </c>
      <c r="F17" s="22"/>
      <c r="G17" s="22"/>
      <c r="H17" s="22"/>
    </row>
    <row r="18" spans="1:18" s="24" customFormat="1" ht="15" customHeight="1" thickTop="1" x14ac:dyDescent="0.3">
      <c r="A18" s="22"/>
      <c r="B18" s="46"/>
      <c r="C18" s="22"/>
      <c r="D18" s="22"/>
      <c r="E18" s="22"/>
      <c r="F18" s="22"/>
      <c r="G18" s="22"/>
      <c r="H18" s="22"/>
    </row>
    <row r="19" spans="1:18" s="24" customFormat="1" ht="15" customHeight="1" x14ac:dyDescent="0.3">
      <c r="A19" s="22"/>
      <c r="B19" s="47" t="s">
        <v>75</v>
      </c>
      <c r="C19" s="22"/>
      <c r="D19" s="22"/>
      <c r="E19" s="22"/>
      <c r="F19" s="22"/>
      <c r="G19" s="22"/>
      <c r="H19" s="22"/>
      <c r="I19" s="22"/>
      <c r="O19" s="29">
        <f>C11*C12-C12*297-C14</f>
        <v>13867.351065972078</v>
      </c>
      <c r="P19" s="22"/>
    </row>
    <row r="20" spans="1:18" s="24" customFormat="1" ht="15" customHeight="1" thickBot="1" x14ac:dyDescent="0.35">
      <c r="A20" s="22"/>
      <c r="B20" s="46" t="s">
        <v>76</v>
      </c>
      <c r="C20" s="22"/>
      <c r="D20" s="22"/>
      <c r="E20" s="22"/>
      <c r="F20" s="22"/>
      <c r="G20" s="22"/>
      <c r="H20" s="22"/>
      <c r="I20" s="22"/>
      <c r="O20" s="22">
        <f>ROUNDDOWN(NPER(C10/12,-C12,C9-C14,0,0),0)</f>
        <v>356</v>
      </c>
      <c r="P20" s="22"/>
    </row>
    <row r="21" spans="1:18" s="24" customFormat="1" ht="15" customHeight="1" thickTop="1" thickBot="1" x14ac:dyDescent="0.35">
      <c r="A21" s="22"/>
      <c r="B21" s="56" t="s">
        <v>77</v>
      </c>
      <c r="C21" s="48">
        <f>C11*C12-C12*NPER(C10/12,-C12,C9-C14,0,0)-C14</f>
        <v>192.65674419308198</v>
      </c>
      <c r="D21" s="49"/>
      <c r="E21" s="22"/>
      <c r="F21" s="22"/>
      <c r="G21" s="22"/>
      <c r="H21" s="22"/>
      <c r="I21" s="22"/>
      <c r="O21" s="22"/>
      <c r="P21" s="22"/>
    </row>
    <row r="22" spans="1:18" s="24" customFormat="1" ht="15" customHeight="1" thickTop="1" thickBot="1" x14ac:dyDescent="0.35">
      <c r="A22" s="22"/>
      <c r="B22" s="56" t="s">
        <v>78</v>
      </c>
      <c r="C22" s="50" t="str">
        <f>CONCATENATE(ROUNDDOWN(O20/12,0)," ","rokov")&amp;" "&amp;CONCATENATE(ROUND(((O20/12-ROUNDDOWN(O20/12,0))*12),0)," ","mesiacov")</f>
        <v>29 rokov 8 mesiacov</v>
      </c>
      <c r="D22" s="49"/>
      <c r="E22" s="22"/>
      <c r="F22" s="22"/>
      <c r="G22" s="22"/>
      <c r="H22" s="22"/>
      <c r="I22" s="22"/>
      <c r="O22" s="22"/>
      <c r="P22" s="22"/>
      <c r="R22" s="24">
        <v>1</v>
      </c>
    </row>
    <row r="23" spans="1:18" s="24" customFormat="1" ht="15" customHeight="1" thickTop="1" x14ac:dyDescent="0.3">
      <c r="A23" s="22"/>
      <c r="B23" s="30" t="s">
        <v>79</v>
      </c>
      <c r="C23" s="30"/>
      <c r="D23" s="31"/>
      <c r="E23" s="22"/>
      <c r="F23" s="22"/>
      <c r="G23" s="22"/>
      <c r="H23" s="22"/>
      <c r="I23" s="22"/>
      <c r="O23" s="22"/>
      <c r="P23" s="22"/>
      <c r="R23" s="24">
        <v>2</v>
      </c>
    </row>
    <row r="24" spans="1:18" s="24" customFormat="1" ht="15" customHeight="1" thickBot="1" x14ac:dyDescent="0.35">
      <c r="A24" s="22"/>
      <c r="B24" s="30" t="s">
        <v>80</v>
      </c>
      <c r="C24" s="30"/>
      <c r="D24" s="32"/>
      <c r="E24" s="22"/>
      <c r="F24" s="22"/>
      <c r="G24" s="22"/>
      <c r="H24" s="22"/>
      <c r="I24" s="22"/>
      <c r="O24" s="22">
        <f>ROUNDDOWN(NPER(C10/12,-(C12+C14),C9,0,0),0)</f>
        <v>100</v>
      </c>
      <c r="P24" s="22"/>
      <c r="Q24" s="24">
        <f>NPER(C10/12,-(C12+C14),C9,0,0)</f>
        <v>100.65257765921402</v>
      </c>
      <c r="R24" s="24">
        <v>3</v>
      </c>
    </row>
    <row r="25" spans="1:18" s="24" customFormat="1" ht="15" customHeight="1" thickTop="1" x14ac:dyDescent="0.3">
      <c r="A25" s="22"/>
      <c r="B25" s="30" t="s">
        <v>81</v>
      </c>
      <c r="C25" s="95">
        <f>RATE(C11,-((C12*O20+C14)/C11),C9,0,0)*12</f>
        <v>1.0546183402364271E-2</v>
      </c>
      <c r="D25" s="96"/>
      <c r="E25" s="22"/>
      <c r="F25" s="22"/>
      <c r="G25" s="22"/>
      <c r="H25" s="22"/>
      <c r="R25" s="24">
        <v>4</v>
      </c>
    </row>
    <row r="26" spans="1:18" s="24" customFormat="1" ht="15" customHeight="1" x14ac:dyDescent="0.3">
      <c r="A26" s="22"/>
      <c r="B26" s="46"/>
      <c r="C26" s="22"/>
      <c r="D26" s="22"/>
      <c r="E26" s="22"/>
      <c r="F26" s="22"/>
      <c r="G26" s="22"/>
      <c r="H26" s="22"/>
      <c r="R26" s="24">
        <v>5</v>
      </c>
    </row>
    <row r="27" spans="1:18" s="24" customFormat="1" ht="15" customHeight="1" thickBot="1" x14ac:dyDescent="0.35">
      <c r="A27" s="22"/>
      <c r="B27" s="46" t="s">
        <v>82</v>
      </c>
      <c r="C27" s="22"/>
      <c r="D27" s="22"/>
      <c r="E27" s="22"/>
      <c r="F27" s="22"/>
      <c r="G27" s="22"/>
      <c r="H27" s="22"/>
      <c r="R27" s="24">
        <v>6</v>
      </c>
    </row>
    <row r="28" spans="1:18" s="24" customFormat="1" ht="15" customHeight="1" thickTop="1" thickBot="1" x14ac:dyDescent="0.35">
      <c r="A28" s="22"/>
      <c r="B28" s="56" t="s">
        <v>77</v>
      </c>
      <c r="C28" s="48">
        <f>C11*C12-NPER(C10/12,-(C12+C14),C9,0,0)*(C12+C14)</f>
        <v>8818.7185485676164</v>
      </c>
      <c r="D28" s="49"/>
      <c r="E28" s="22"/>
      <c r="F28" s="22"/>
      <c r="G28" s="22"/>
      <c r="H28" s="22"/>
      <c r="R28" s="24">
        <v>7</v>
      </c>
    </row>
    <row r="29" spans="1:18" s="24" customFormat="1" ht="15" customHeight="1" thickTop="1" thickBot="1" x14ac:dyDescent="0.35">
      <c r="A29" s="22"/>
      <c r="B29" s="56" t="s">
        <v>78</v>
      </c>
      <c r="C29" s="50" t="str">
        <f>CONCATENATE(ROUNDDOWN(O24/12,0)," ","rokov")&amp;" "&amp;CONCATENATE(ROUND(((O24/12-ROUNDDOWN(O24/12,0))*12),0)," ","mesiacov")</f>
        <v>8 rokov 4 mesiacov</v>
      </c>
      <c r="D29" s="49"/>
      <c r="E29" s="22"/>
      <c r="F29" s="22"/>
      <c r="G29" s="22"/>
      <c r="H29" s="22"/>
      <c r="R29" s="24">
        <v>8</v>
      </c>
    </row>
    <row r="30" spans="1:18" s="24" customFormat="1" ht="15" customHeight="1" thickTop="1" x14ac:dyDescent="0.3">
      <c r="A30" s="22"/>
      <c r="B30" s="30" t="s">
        <v>83</v>
      </c>
      <c r="C30" s="30"/>
      <c r="D30" s="31"/>
      <c r="E30" s="22"/>
      <c r="F30" s="22"/>
      <c r="G30" s="22"/>
      <c r="H30" s="22"/>
      <c r="R30" s="24">
        <v>9</v>
      </c>
    </row>
    <row r="31" spans="1:18" s="24" customFormat="1" ht="15" customHeight="1" thickBot="1" x14ac:dyDescent="0.35">
      <c r="A31" s="22"/>
      <c r="B31" s="30" t="s">
        <v>80</v>
      </c>
      <c r="C31" s="30"/>
      <c r="D31" s="32"/>
      <c r="E31" s="22"/>
      <c r="F31" s="22"/>
      <c r="G31" s="22"/>
      <c r="H31" s="22"/>
      <c r="R31" s="24">
        <v>10</v>
      </c>
    </row>
    <row r="32" spans="1:18" s="24" customFormat="1" ht="15" customHeight="1" thickTop="1" thickBot="1" x14ac:dyDescent="0.35">
      <c r="A32" s="22"/>
      <c r="B32" s="30" t="s">
        <v>81</v>
      </c>
      <c r="C32" s="95">
        <f>RATE(C11,-((O24*(C12+C14))/C11),C9,0,0)*12</f>
        <v>2.6298543469316714E-3</v>
      </c>
      <c r="D32" s="96"/>
      <c r="E32" s="22"/>
      <c r="F32" s="22"/>
      <c r="G32" s="22"/>
      <c r="H32" s="22"/>
      <c r="R32" s="24">
        <v>11</v>
      </c>
    </row>
    <row r="33" spans="1:19" s="24" customFormat="1" ht="15" customHeight="1" thickTop="1" thickBot="1" x14ac:dyDescent="0.35">
      <c r="A33" s="22"/>
      <c r="B33" s="46"/>
      <c r="C33" s="22"/>
      <c r="D33" s="22"/>
      <c r="E33" s="22"/>
      <c r="F33" s="22"/>
      <c r="G33" s="22"/>
      <c r="H33" s="22"/>
      <c r="O33" s="33">
        <f>C14*C17</f>
        <v>2000</v>
      </c>
      <c r="P33" s="24" t="s">
        <v>84</v>
      </c>
      <c r="R33" s="24">
        <v>12</v>
      </c>
    </row>
    <row r="34" spans="1:19" s="24" customFormat="1" ht="15" customHeight="1" thickTop="1" thickBot="1" x14ac:dyDescent="0.35">
      <c r="A34" s="22"/>
      <c r="B34" s="46" t="s">
        <v>85</v>
      </c>
      <c r="C34" s="34" t="str">
        <f>CONCATENATE(C17," ",D17," ",E17)</f>
        <v>4 krát v každom roku</v>
      </c>
      <c r="E34" s="22"/>
      <c r="F34" s="22"/>
      <c r="G34" s="22"/>
      <c r="H34" s="22"/>
      <c r="O34" s="24">
        <f>(C14*C17)/12</f>
        <v>166.66666666666666</v>
      </c>
      <c r="P34" s="24" t="s">
        <v>74</v>
      </c>
    </row>
    <row r="35" spans="1:19" s="24" customFormat="1" ht="15" customHeight="1" thickTop="1" thickBot="1" x14ac:dyDescent="0.35">
      <c r="A35" s="22"/>
      <c r="B35" s="56" t="s">
        <v>77</v>
      </c>
      <c r="C35" s="48">
        <f>IF(E17="v tomto roku",O39,Q39)</f>
        <v>5737.0210786033567</v>
      </c>
      <c r="D35" s="51"/>
      <c r="E35" s="22"/>
      <c r="F35" s="22"/>
      <c r="G35" s="22"/>
      <c r="H35" s="22"/>
    </row>
    <row r="36" spans="1:19" s="24" customFormat="1" ht="15" customHeight="1" thickTop="1" thickBot="1" x14ac:dyDescent="0.35">
      <c r="A36" s="22"/>
      <c r="B36" s="56" t="s">
        <v>78</v>
      </c>
      <c r="C36" s="50" t="str">
        <f>IF(E17="v tomto roku",O40,Q40)</f>
        <v>16 rokov 1 mesiacov</v>
      </c>
      <c r="D36" s="52"/>
      <c r="E36" s="22"/>
      <c r="F36" s="22"/>
      <c r="G36" s="22"/>
      <c r="H36" s="22"/>
    </row>
    <row r="37" spans="1:19" s="24" customFormat="1" ht="15" customHeight="1" thickTop="1" x14ac:dyDescent="0.3">
      <c r="A37" s="22"/>
      <c r="B37" s="36" t="s">
        <v>86</v>
      </c>
      <c r="C37" s="35" t="str">
        <f>CONCATENATE(C17," ",D17," ",E17,",")</f>
        <v>4 krát v každom roku,</v>
      </c>
      <c r="D37" s="31"/>
      <c r="E37" s="22"/>
      <c r="F37" s="22"/>
      <c r="G37" s="22"/>
      <c r="H37" s="22"/>
    </row>
    <row r="38" spans="1:19" s="24" customFormat="1" ht="15" customHeight="1" thickBot="1" x14ac:dyDescent="0.35">
      <c r="A38" s="22"/>
      <c r="B38" s="36" t="s">
        <v>80</v>
      </c>
      <c r="C38" s="36"/>
      <c r="D38" s="32"/>
      <c r="E38" s="22"/>
      <c r="F38" s="22"/>
      <c r="G38" s="22"/>
      <c r="H38" s="22"/>
      <c r="O38" s="97" t="s">
        <v>87</v>
      </c>
      <c r="P38" s="97"/>
      <c r="Q38" s="98" t="s">
        <v>74</v>
      </c>
      <c r="R38" s="98"/>
    </row>
    <row r="39" spans="1:19" s="24" customFormat="1" ht="15" customHeight="1" thickTop="1" thickBot="1" x14ac:dyDescent="0.35">
      <c r="A39" s="22"/>
      <c r="B39" s="36" t="s">
        <v>81</v>
      </c>
      <c r="C39" s="90">
        <f>IF(E17="v tomto roku",O41,Q41)</f>
        <v>5.7079623714512522E-3</v>
      </c>
      <c r="D39" s="91"/>
      <c r="E39" s="22"/>
      <c r="F39" s="22"/>
      <c r="G39" s="22"/>
      <c r="H39" s="22"/>
      <c r="O39" s="92">
        <f>C11*C12-C12*NPER(C10/12,-C12,C9-O33,0,0)-O33</f>
        <v>759.23980333983491</v>
      </c>
      <c r="P39" s="93"/>
      <c r="Q39" s="92">
        <f>C11*C12-NPER(C10/12,-(C12+O34),C9,0,0)*(C12+O34)</f>
        <v>5737.0210786033567</v>
      </c>
      <c r="R39" s="93"/>
      <c r="S39" s="37">
        <f>ROUNDDOWN(NPER(C10/12,-C12,C9-O33,0,0),0)</f>
        <v>347</v>
      </c>
    </row>
    <row r="40" spans="1:19" s="24" customFormat="1" ht="15" customHeight="1" thickTop="1" thickBot="1" x14ac:dyDescent="0.35">
      <c r="A40" s="22"/>
      <c r="B40" s="22"/>
      <c r="C40" s="22"/>
      <c r="D40" s="22"/>
      <c r="E40" s="22"/>
      <c r="F40" s="22"/>
      <c r="G40" s="22"/>
      <c r="H40" s="22"/>
      <c r="O40" s="99" t="str">
        <f>CONCATENATE(ROUNDDOWN(S39/12,0)," ","rokov")&amp;" "&amp;CONCATENATE(ROUND(((S39/12-ROUNDDOWN(S39/12,0))*12),0)," ","mesiacov")</f>
        <v>28 rokov 11 mesiacov</v>
      </c>
      <c r="P40" s="100"/>
      <c r="Q40" s="92" t="str">
        <f>CONCATENATE(ROUNDDOWN(S40/12,0)," ","rokov")&amp;" "&amp;CONCATENATE(ROUND(((S40/12-ROUNDDOWN(S40/12,0))*12),0)," ","mesiacov")</f>
        <v>16 rokov 1 mesiacov</v>
      </c>
      <c r="R40" s="93"/>
      <c r="S40" s="24">
        <f>ROUNDDOWN(NPER(C10/12,-(C12+O34),C9,0,0),0)</f>
        <v>193</v>
      </c>
    </row>
    <row r="41" spans="1:19" s="24" customFormat="1" ht="15" customHeight="1" thickTop="1" thickBot="1" x14ac:dyDescent="0.35">
      <c r="A41" s="22"/>
      <c r="B41" s="22" t="s">
        <v>88</v>
      </c>
      <c r="C41" s="22"/>
      <c r="D41" s="22"/>
      <c r="E41" s="22"/>
      <c r="F41" s="22"/>
      <c r="G41" s="22"/>
      <c r="H41" s="22"/>
      <c r="O41" s="101">
        <f>RATE(C11,-((C12*S39+O33)/C11),C9,0,0)*12</f>
        <v>1.0070211756163254E-2</v>
      </c>
      <c r="P41" s="102"/>
      <c r="Q41" s="101">
        <f>RATE(C11,-((S40*(C12+O34))/C11),C9,0,0)*12</f>
        <v>5.7079623714512522E-3</v>
      </c>
      <c r="R41" s="102"/>
    </row>
    <row r="42" spans="1:19" s="24" customFormat="1" ht="15" customHeight="1" thickTop="1" x14ac:dyDescent="0.3">
      <c r="A42" s="22"/>
      <c r="B42" s="22" t="s">
        <v>93</v>
      </c>
      <c r="C42" s="22"/>
      <c r="D42" s="22"/>
      <c r="E42" s="22"/>
      <c r="F42" s="38"/>
      <c r="G42" s="22"/>
      <c r="H42" s="22"/>
    </row>
    <row r="43" spans="1:19" s="24" customFormat="1" ht="15" customHeight="1" x14ac:dyDescent="0.3">
      <c r="A43" s="22"/>
      <c r="B43" s="22" t="s">
        <v>94</v>
      </c>
      <c r="C43" s="22"/>
      <c r="D43" s="22"/>
      <c r="E43" s="22"/>
      <c r="F43" s="38"/>
      <c r="G43" s="22"/>
      <c r="H43" s="22"/>
    </row>
    <row r="44" spans="1:19" s="24" customFormat="1" ht="6" customHeight="1" x14ac:dyDescent="0.3">
      <c r="A44" s="22"/>
      <c r="B44" s="22"/>
      <c r="C44" s="22"/>
      <c r="D44" s="22"/>
      <c r="E44" s="22"/>
      <c r="F44" s="38"/>
      <c r="G44" s="22"/>
      <c r="H44" s="22"/>
    </row>
    <row r="45" spans="1:19" s="24" customFormat="1" ht="15" customHeight="1" x14ac:dyDescent="0.3">
      <c r="A45" s="22"/>
      <c r="B45" s="22" t="s">
        <v>89</v>
      </c>
      <c r="C45" s="22"/>
      <c r="D45" s="22"/>
      <c r="E45" s="22"/>
      <c r="F45" s="38"/>
      <c r="G45" s="22"/>
      <c r="H45" s="22"/>
    </row>
    <row r="46" spans="1:19" s="24" customFormat="1" ht="15" customHeight="1" x14ac:dyDescent="0.3">
      <c r="A46" s="22"/>
      <c r="B46" s="22" t="s">
        <v>95</v>
      </c>
      <c r="C46" s="22"/>
      <c r="D46" s="22"/>
      <c r="E46" s="22"/>
      <c r="F46" s="38"/>
      <c r="G46" s="22"/>
      <c r="H46" s="22"/>
    </row>
    <row r="47" spans="1:19" s="24" customFormat="1" ht="15" customHeight="1" x14ac:dyDescent="0.3">
      <c r="A47" s="22"/>
      <c r="B47" s="22" t="s">
        <v>96</v>
      </c>
      <c r="C47" s="22"/>
      <c r="D47" s="22"/>
      <c r="E47" s="22"/>
      <c r="F47" s="22"/>
      <c r="G47" s="22"/>
      <c r="H47" s="22"/>
    </row>
    <row r="49" spans="1:8" s="24" customFormat="1" ht="15" customHeight="1" x14ac:dyDescent="0.3">
      <c r="A49" s="22"/>
      <c r="B49" s="103" t="s">
        <v>90</v>
      </c>
      <c r="C49" s="103"/>
      <c r="D49" s="103"/>
      <c r="E49" s="103"/>
      <c r="F49" s="103"/>
      <c r="G49" s="103"/>
      <c r="H49" s="39"/>
    </row>
    <row r="50" spans="1:8" s="24" customFormat="1" ht="15" customHeight="1" x14ac:dyDescent="0.3">
      <c r="A50" s="22"/>
      <c r="B50" s="103"/>
      <c r="C50" s="103"/>
      <c r="D50" s="103"/>
      <c r="E50" s="103"/>
      <c r="F50" s="103"/>
      <c r="G50" s="103"/>
      <c r="H50" s="39"/>
    </row>
    <row r="51" spans="1:8" s="24" customFormat="1" ht="15" customHeight="1" x14ac:dyDescent="0.3">
      <c r="A51" s="22"/>
      <c r="B51" s="103"/>
      <c r="C51" s="103"/>
      <c r="D51" s="103"/>
      <c r="E51" s="103"/>
      <c r="F51" s="103"/>
      <c r="G51" s="103"/>
      <c r="H51" s="39"/>
    </row>
  </sheetData>
  <sheetProtection algorithmName="SHA-512" hashValue="yaUpnvGL9pgi6WKMK5RzJH4h96AUPF/SdgZmqXRUcgoCvjFKLnUijdowO/doDqIhBbOEIAPLu1jexJdnbdICFg==" saltValue="32uGVCiLoL0JC1rVyzGWJQ==" spinCount="100000" sheet="1" objects="1" scenarios="1"/>
  <mergeCells count="13">
    <mergeCell ref="O40:P40"/>
    <mergeCell ref="Q40:R40"/>
    <mergeCell ref="O41:P41"/>
    <mergeCell ref="Q41:R41"/>
    <mergeCell ref="B49:G51"/>
    <mergeCell ref="C39:D39"/>
    <mergeCell ref="O39:P39"/>
    <mergeCell ref="Q39:R39"/>
    <mergeCell ref="B2:D2"/>
    <mergeCell ref="C25:D25"/>
    <mergeCell ref="C32:D32"/>
    <mergeCell ref="O38:P38"/>
    <mergeCell ref="Q38:R38"/>
  </mergeCells>
  <dataValidations count="4">
    <dataValidation type="whole" allowBlank="1" showInputMessage="1" showErrorMessage="1" sqref="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xr:uid="{00000000-0002-0000-0100-000000000000}">
      <formula1>E14</formula1>
      <formula2>G14</formula2>
    </dataValidation>
    <dataValidation type="list" allowBlank="1" showInputMessage="1" showErrorMessage="1" sqref="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xr:uid="{00000000-0002-0000-0100-000001000000}">
      <formula1>$R$22:$R$33</formula1>
    </dataValidation>
    <dataValidation type="list" allowBlank="1" showInputMessage="1" showErrorMessage="1" sqref="E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xr:uid="{00000000-0002-0000-0100-000002000000}">
      <formula1>$P$33:$P$34</formula1>
    </dataValidation>
    <dataValidation type="whole" allowBlank="1" showInputMessage="1" showErrorMessage="1" sqref="C14" xr:uid="{00000000-0002-0000-0100-000003000000}">
      <formula1>E14</formula1>
      <formula2>E15</formula2>
    </dataValidation>
  </dataValidations>
  <pageMargins left="0.7" right="0.7" top="0.75" bottom="0.75" header="0.3" footer="0.3"/>
  <pageSetup paperSize="9" orientation="portrait"/>
  <headerFooter>
    <oddHeader>&amp;C&amp;"Calibri"&amp;10&amp;K000000Public&amp;1#</oddHeader>
  </headerFooter>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Ponuka</vt:lpstr>
      <vt:lpstr>Mimoriadne splátky</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Erino</dc:creator>
  <cp:lastModifiedBy>JARÁBKOVÁ Petrana</cp:lastModifiedBy>
  <cp:lastPrinted>2015-05-11T08:47:56Z</cp:lastPrinted>
  <dcterms:created xsi:type="dcterms:W3CDTF">2015-04-26T20:24:49Z</dcterms:created>
  <dcterms:modified xsi:type="dcterms:W3CDTF">2020-02-19T08:51:06Z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240272-e508-4aa4-a755-797e799e3de3_Enabled">
    <vt:lpwstr>True</vt:lpwstr>
  </property>
  <property fmtid="{D5CDD505-2E9C-101B-9397-08002B2CF9AE}" pid="3" name="MSIP_Label_5a240272-e508-4aa4-a755-797e799e3de3_SiteId">
    <vt:lpwstr>64af2aee-7d6c-49ac-a409-192d3fee73b8</vt:lpwstr>
  </property>
  <property fmtid="{D5CDD505-2E9C-101B-9397-08002B2CF9AE}" pid="4" name="MSIP_Label_5a240272-e508-4aa4-a755-797e799e3de3_Owner">
    <vt:lpwstr>MZGABUROVA@CSOB.SK</vt:lpwstr>
  </property>
  <property fmtid="{D5CDD505-2E9C-101B-9397-08002B2CF9AE}" pid="5" name="MSIP_Label_5a240272-e508-4aa4-a755-797e799e3de3_SetDate">
    <vt:lpwstr>2019-02-27T09:05:39.9330983Z</vt:lpwstr>
  </property>
  <property fmtid="{D5CDD505-2E9C-101B-9397-08002B2CF9AE}" pid="6" name="MSIP_Label_5a240272-e508-4aa4-a755-797e799e3de3_Name">
    <vt:lpwstr>Public</vt:lpwstr>
  </property>
  <property fmtid="{D5CDD505-2E9C-101B-9397-08002B2CF9AE}" pid="7" name="MSIP_Label_5a240272-e508-4aa4-a755-797e799e3de3_Application">
    <vt:lpwstr>Microsoft Azure Information Protection</vt:lpwstr>
  </property>
  <property fmtid="{D5CDD505-2E9C-101B-9397-08002B2CF9AE}" pid="8" name="MSIP_Label_5a240272-e508-4aa4-a755-797e799e3de3_Extended_MSFT_Method">
    <vt:lpwstr>Manual</vt:lpwstr>
  </property>
  <property fmtid="{D5CDD505-2E9C-101B-9397-08002B2CF9AE}" pid="9" name="MSIP_Label_a5a63cc4-2ec6-44d2-91a5-2f2bdabdec44_Enabled">
    <vt:lpwstr>True</vt:lpwstr>
  </property>
  <property fmtid="{D5CDD505-2E9C-101B-9397-08002B2CF9AE}" pid="10" name="MSIP_Label_a5a63cc4-2ec6-44d2-91a5-2f2bdabdec44_SiteId">
    <vt:lpwstr>64af2aee-7d6c-49ac-a409-192d3fee73b8</vt:lpwstr>
  </property>
  <property fmtid="{D5CDD505-2E9C-101B-9397-08002B2CF9AE}" pid="11" name="MSIP_Label_a5a63cc4-2ec6-44d2-91a5-2f2bdabdec44_Owner">
    <vt:lpwstr>MZGABUROVA@CSOB.SK</vt:lpwstr>
  </property>
  <property fmtid="{D5CDD505-2E9C-101B-9397-08002B2CF9AE}" pid="12" name="MSIP_Label_a5a63cc4-2ec6-44d2-91a5-2f2bdabdec44_SetDate">
    <vt:lpwstr>2019-02-27T09:05:39.9330983Z</vt:lpwstr>
  </property>
  <property fmtid="{D5CDD505-2E9C-101B-9397-08002B2CF9AE}" pid="13" name="MSIP_Label_a5a63cc4-2ec6-44d2-91a5-2f2bdabdec44_Name">
    <vt:lpwstr>Public - Visual Marking</vt:lpwstr>
  </property>
  <property fmtid="{D5CDD505-2E9C-101B-9397-08002B2CF9AE}" pid="14" name="MSIP_Label_a5a63cc4-2ec6-44d2-91a5-2f2bdabdec44_Application">
    <vt:lpwstr>Microsoft Azure Information Protection</vt:lpwstr>
  </property>
  <property fmtid="{D5CDD505-2E9C-101B-9397-08002B2CF9AE}" pid="15" name="MSIP_Label_a5a63cc4-2ec6-44d2-91a5-2f2bdabdec44_Parent">
    <vt:lpwstr>5a240272-e508-4aa4-a755-797e799e3de3</vt:lpwstr>
  </property>
  <property fmtid="{D5CDD505-2E9C-101B-9397-08002B2CF9AE}" pid="16" name="MSIP_Label_a5a63cc4-2ec6-44d2-91a5-2f2bdabdec44_Extended_MSFT_Method">
    <vt:lpwstr>Manual</vt:lpwstr>
  </property>
  <property fmtid="{D5CDD505-2E9C-101B-9397-08002B2CF9AE}" pid="17" name="Sensitivity">
    <vt:lpwstr>Public Public - Visual Marking</vt:lpwstr>
  </property>
</Properties>
</file>